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FFXq9b698vwz/tHa9rWJ3h8MQnCaOhdyC+pL6HgoqVk7/UGelHW/xym5ItaSmkgu0DOArHcuwYzl7st3gEC8Hg==" workbookSaltValue="Hge7MUxlxvO9UVyhTTam4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X32" i="20"/>
  <c r="G30" i="14"/>
  <c r="G23" i="14"/>
  <c r="BD12" i="8" l="1"/>
  <c r="H12" i="7" s="1"/>
  <c r="Z14" i="17"/>
  <c r="BF17" i="8"/>
  <c r="B16" i="6"/>
  <c r="R8" i="9"/>
  <c r="AA28" i="16" s="1"/>
  <c r="X22" i="17"/>
  <c r="X18" i="17"/>
  <c r="X20" i="20"/>
  <c r="V12" i="16"/>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O18" i="11"/>
  <c r="AB32" i="20"/>
  <c r="AI32" i="20"/>
  <c r="R32" i="20"/>
  <c r="AA32" i="20"/>
  <c r="G14" i="14"/>
  <c r="AC32" i="20"/>
  <c r="Z32" i="20"/>
  <c r="T32" i="20"/>
  <c r="AM32" i="20"/>
  <c r="Q32" i="20"/>
  <c r="W32" i="21"/>
  <c r="E32" i="20"/>
  <c r="AV32" i="20"/>
  <c r="O32" i="20"/>
  <c r="AQ32" i="21"/>
  <c r="Y32" i="20"/>
  <c r="L32" i="20"/>
  <c r="AJ32" i="20"/>
  <c r="AH32" i="20"/>
  <c r="I32" i="20"/>
  <c r="S32" i="20"/>
  <c r="N32" i="20"/>
  <c r="AN32" i="20"/>
  <c r="T19" i="20" l="1"/>
  <c r="V16" i="16"/>
  <c r="X18" i="20"/>
  <c r="X10"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Q9" i="11" s="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P29" i="11" s="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AP26" i="21"/>
  <c r="AP18" i="20"/>
  <c r="BG21" i="11"/>
  <c r="BU25" i="17"/>
  <c r="BV28" i="16"/>
  <c r="BV13" i="16"/>
  <c r="BW13" i="20"/>
  <c r="BV21" i="16"/>
  <c r="BU29" i="17"/>
  <c r="BV11" i="16"/>
  <c r="BW16" i="20"/>
  <c r="BU20" i="17"/>
  <c r="U10" i="17"/>
  <c r="BW29" i="20"/>
  <c r="BV10" i="16"/>
  <c r="BV14" i="16" s="1"/>
  <c r="BW22" i="20"/>
  <c r="BU18" i="17"/>
  <c r="BV29" i="16"/>
  <c r="S11" i="17"/>
  <c r="BU17" i="17"/>
  <c r="BV20" i="16"/>
  <c r="AZ22" i="11"/>
  <c r="AA20" i="16"/>
  <c r="R28" i="14"/>
  <c r="AZ17" i="11"/>
  <c r="X16" i="17"/>
  <c r="BF20" i="11"/>
  <c r="BF23" i="11" s="1"/>
  <c r="T17" i="11"/>
  <c r="S16" i="16"/>
  <c r="P16" i="17"/>
  <c r="BL20" i="11"/>
  <c r="Q20" i="11" s="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T28" i="11"/>
  <c r="T19" i="11"/>
  <c r="R22" i="14"/>
  <c r="R23" i="14" s="1"/>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V30" i="14" s="1"/>
  <c r="S19" i="14"/>
  <c r="V19" i="14" s="1"/>
  <c r="S13" i="17"/>
  <c r="V16" i="20"/>
  <c r="V23"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Q21" i="11"/>
  <c r="Q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BR32" i="16"/>
  <c r="AX32" i="21"/>
  <c r="BP32" i="16"/>
  <c r="K32" i="20"/>
  <c r="AW32" i="11"/>
  <c r="AV32" i="21"/>
  <c r="O12" i="11"/>
  <c r="H32" i="17"/>
  <c r="Q17" i="11" l="1"/>
  <c r="BW33" i="20"/>
  <c r="AQ17" i="11"/>
  <c r="BJ23" i="11"/>
  <c r="Q25" i="11"/>
  <c r="BV23" i="16"/>
  <c r="BV26" i="16" s="1"/>
  <c r="BV30" i="16" s="1"/>
  <c r="P21" i="11"/>
  <c r="BK23" i="11"/>
  <c r="AZ14" i="11"/>
  <c r="AZ31" i="11"/>
  <c r="S30" i="14"/>
  <c r="S14" i="14"/>
  <c r="BI23" i="11"/>
  <c r="P9" i="11"/>
  <c r="U14" i="17"/>
  <c r="Q31" i="20"/>
  <c r="P20" i="11"/>
  <c r="Q23" i="17"/>
  <c r="Q31" i="17" s="1"/>
  <c r="P23" i="17"/>
  <c r="P31" i="17" s="1"/>
  <c r="P13" i="11"/>
  <c r="Q13" i="11"/>
  <c r="BK14" i="11"/>
  <c r="AZ26"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BF32" i="16"/>
  <c r="W32" i="17"/>
  <c r="I32" i="16"/>
  <c r="P32" i="11"/>
  <c r="BK32" i="16"/>
  <c r="AP32" i="21"/>
  <c r="O32" i="17"/>
  <c r="Y32" i="16"/>
  <c r="E32" i="16"/>
  <c r="AZ32" i="16"/>
  <c r="L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O32" i="17"/>
  <c r="AL32" i="16"/>
  <c r="AH32" i="16"/>
  <c r="H32" i="11"/>
  <c r="AM32" i="17"/>
  <c r="AR32" i="20"/>
  <c r="AH32" i="11"/>
  <c r="AI32" i="17"/>
  <c r="M32" i="21"/>
  <c r="AT32" i="20"/>
  <c r="F32" i="11"/>
  <c r="BI32" i="16"/>
  <c r="V32" i="17"/>
  <c r="N32" i="21"/>
  <c r="R32" i="16"/>
  <c r="AL32" i="21"/>
  <c r="BN32" i="16"/>
  <c r="AI32" i="16"/>
  <c r="AD32" i="11"/>
  <c r="AB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<sst xmlns="http://schemas.openxmlformats.org/spreadsheetml/2006/main" count="2682" uniqueCount="1193">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</sst>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tOycPCyFLc4djuXnnC+gfIt6ghcAY2WgYsKyT3DqICJoTS/Kgw8GoPvgym+y/Y31sZm9+IYfbdzzacOdJfgdw==" saltValue="tonuUHaZrit2oj2Bcrad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44</v>
      </c>
      <c r="F10" s="240">
        <f>IF(ISNUMBER(Datos!K10),Datos!K10," - ")</f>
        <v>34</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0.30303030303030304</v>
      </c>
      <c r="L10" s="1402">
        <f>IF(ISNUMBER(NºAsuntos!I10/NºAsuntos!G10),(NºAsuntos!I10/NºAsuntos!G10)*11," - ")</f>
        <v>13.911764705882351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12.046965918536991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44</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1228</v>
      </c>
      <c r="D17" s="239">
        <f>IF(ISNUMBER(IF(D_I="SI",Datos!I17,Datos!I17+Datos!AC17)),IF(D_I="SI",Datos!I17,Datos!I17+Datos!AC17)," - ")</f>
        <v>1263</v>
      </c>
      <c r="E17" s="240">
        <f>IF(ISNUMBER(IF(D_I="SI",Datos!J17,Datos!J17+Datos!AD17)),IF(D_I="SI",Datos!J17,Datos!J17+Datos!AD17)," - ")</f>
        <v>3722</v>
      </c>
      <c r="F17" s="240">
        <f>IF(ISNUMBER(IF(D_I="SI",Datos!K17,Datos!K17+Datos!AE17)),IF(D_I="SI",Datos!K17,Datos!K17+Datos!AE17)," - ")</f>
        <v>3515</v>
      </c>
      <c r="G17" s="1390" t="str">
        <f>IF(Datos!E17&lt;&gt;"",Datos!E17,Datos!D17)</f>
        <v>04</v>
      </c>
      <c r="H17" s="241">
        <f>IF(ISNUMBER(IF(D_I="SI",Datos!L17,Datos!L17+Datos!AF17)),IF(D_I="SI",Datos!L17,Datos!L17+Datos!AF17)," - ")</f>
        <v>1435</v>
      </c>
      <c r="I17" s="1400" t="str">
        <f>IF(ISNUMBER(Datos!AS17/Datos!BM17),Datos!AS17/Datos!BM17," - ")</f>
        <v xml:space="preserve"> - </v>
      </c>
      <c r="J17" s="1401">
        <f>IF(ISNUMBER(Datos!BY17/Datos!CN17),Datos!BY17/Datos!CN17," - ")</f>
        <v>0</v>
      </c>
      <c r="K17" s="244">
        <f t="shared" si="3"/>
        <v>0.16856677524429967</v>
      </c>
      <c r="L17" s="1402">
        <f>IF(ISNUMBER(NºAsuntos!I17/NºAsuntos!G17),(NºAsuntos!I17/NºAsuntos!G17)*11," - ")</f>
        <v>4.4907539118065429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185</v>
      </c>
      <c r="D18" s="239">
        <f>IF(ISNUMBER(IF(D_I="SI",Datos!I18,Datos!I18+Datos!AC18)),IF(D_I="SI",Datos!I18,Datos!I18+Datos!AC18)," - ")</f>
        <v>185</v>
      </c>
      <c r="E18" s="240">
        <f>IF(ISNUMBER(IF(D_I="SI",Datos!J18,Datos!J18+Datos!AD18)),IF(D_I="SI",Datos!J18,Datos!J18+Datos!AD18)," - ")</f>
        <v>249</v>
      </c>
      <c r="F18" s="240">
        <f>IF(ISNUMBER(IF(D_I="SI",Datos!K18,Datos!K18+Datos!AE18)),IF(D_I="SI",Datos!K18,Datos!K18+Datos!AE18)," - ")</f>
        <v>183</v>
      </c>
      <c r="G18" s="1390" t="str">
        <f>IF(Datos!E18&lt;&gt;"",Datos!E18,Datos!D18)</f>
        <v>37</v>
      </c>
      <c r="H18" s="241">
        <f>IF(ISNUMBER(IF(D_I="SI",Datos!L18,Datos!L18+Datos!AF18)),IF(D_I="SI",Datos!L18,Datos!L18+Datos!AF18)," - ")</f>
        <v>251</v>
      </c>
      <c r="I18" s="1400" t="str">
        <f>IF(ISNUMBER(Datos!AS18/Datos!BM18),Datos!AS18/Datos!BM18," - ")</f>
        <v xml:space="preserve"> - </v>
      </c>
      <c r="J18" s="1401" t="str">
        <f>IF(ISNUMBER((Datos!BY18+Datos!BZ18)/Datos!CN18),(Datos!BY18+Datos!BZ18)/Datos!CN18," - ")</f>
        <v xml:space="preserve"> - </v>
      </c>
      <c r="K18" s="244">
        <f t="shared" si="3"/>
        <v>0.35675675675675678</v>
      </c>
      <c r="L18" s="1402">
        <f>IF(ISNUMBER(NºAsuntos!I18/NºAsuntos!G18),(NºAsuntos!I18/NºAsuntos!G18)*11," - ")</f>
        <v>15.087431693989071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1413</v>
      </c>
      <c r="D23" s="1407">
        <f>SUBTOTAL(9,D16:D22)</f>
        <v>1448</v>
      </c>
      <c r="E23" s="1408">
        <f>SUBTOTAL(9,E16:E22)</f>
        <v>3971</v>
      </c>
      <c r="F23" s="1408">
        <f>SUBTOTAL(9,F16:F22)</f>
        <v>3698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1446</v>
      </c>
      <c r="D31" s="1435">
        <f>SUBTOTAL(9,D9:D30)</f>
        <v>1481</v>
      </c>
      <c r="E31" s="1436">
        <f>SUBTOTAL(9,E9:E30)</f>
        <v>4015</v>
      </c>
      <c r="F31" s="1436">
        <f>SUBTOTAL(9,F9:F30)</f>
        <v>3732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RsVj3jaz1L0ZZ5RrX0JGdfmIwhwOAJATBS2DlXY/oxa1gwg7zbFNcEARQFacKS05BcvFOFNQbN0O+GXaZRajw==" saltValue="H9fFpl2yoRmwblozQWme6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VvuOquGuQr0iVfqVlNo03dH/gyipZIBL+geLEf5oUTPzAAGVMBB8Mdgow8fQS1cjkylru/B39LSO0DTriCyCw==" saltValue="6NBVHQGET0zELc9El0yM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44</v>
      </c>
      <c r="K10" s="194">
        <v>34</v>
      </c>
      <c r="L10" s="194">
        <v>43</v>
      </c>
      <c r="M10" s="194">
        <v>13</v>
      </c>
      <c r="N10" s="194">
        <v>13</v>
      </c>
      <c r="O10" s="194">
        <v>6</v>
      </c>
      <c r="P10" s="194">
        <v>8</v>
      </c>
      <c r="Q10" s="194">
        <v>20</v>
      </c>
      <c r="R10" s="194">
        <v>14</v>
      </c>
      <c r="S10" s="194">
        <v>28</v>
      </c>
      <c r="T10" s="194">
        <v>26</v>
      </c>
      <c r="U10" s="194">
        <v>21</v>
      </c>
      <c r="V10" s="194">
        <v>33</v>
      </c>
      <c r="W10" s="194">
        <v>9</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26</v>
      </c>
      <c r="BA10" s="139">
        <f t="shared" si="0"/>
        <v>21</v>
      </c>
      <c r="BB10" s="139">
        <f t="shared" si="0"/>
        <v>33</v>
      </c>
      <c r="BC10" s="135">
        <f t="shared" si="0"/>
        <v>9</v>
      </c>
      <c r="BD10" s="136">
        <f>IF(ISNUMBER(BA10/AZ10),BA10/AZ10," - ")</f>
        <v>0.80769230769230771</v>
      </c>
      <c r="BE10" s="137">
        <f>IF(ISNUMBER(BB10/BA10),BB10/BA10, " - ")</f>
        <v>1.5714285714285714</v>
      </c>
      <c r="BF10" s="137">
        <f>IF(ISNUMBER(BC10/BA10),BC10/BA10, " - ")</f>
        <v>0.42857142857142855</v>
      </c>
      <c r="BG10" s="209">
        <f>IF(ISNUMBER((AY10+AZ10)/BA10),(AY10+AZ10)/BA10," - ")</f>
        <v>2.5714285714285716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1783</v>
      </c>
      <c r="J12" s="196">
        <v>3044</v>
      </c>
      <c r="K12" s="196">
        <v>2244</v>
      </c>
      <c r="L12" s="196">
        <v>2452</v>
      </c>
      <c r="M12" s="196">
        <v>475</v>
      </c>
      <c r="N12" s="196">
        <v>954</v>
      </c>
      <c r="O12" s="194">
        <v>1020</v>
      </c>
      <c r="P12" s="196">
        <v>785</v>
      </c>
      <c r="Q12" s="196">
        <v>898</v>
      </c>
      <c r="R12" s="196">
        <v>2944</v>
      </c>
      <c r="S12" s="196">
        <v>1736</v>
      </c>
      <c r="T12" s="196">
        <v>2240</v>
      </c>
      <c r="U12" s="196">
        <v>2193</v>
      </c>
      <c r="V12" s="196">
        <v>1783</v>
      </c>
      <c r="W12" s="196">
        <v>548</v>
      </c>
      <c r="X12" s="202">
        <v>916</v>
      </c>
      <c r="Y12" s="204">
        <v>69</v>
      </c>
      <c r="Z12" s="194">
        <v>286</v>
      </c>
      <c r="AA12" s="194">
        <v>162</v>
      </c>
      <c r="AB12" s="194">
        <v>183</v>
      </c>
      <c r="AC12" s="196">
        <v>0</v>
      </c>
      <c r="AD12" s="196">
        <v>0</v>
      </c>
      <c r="AE12" s="196">
        <v>0</v>
      </c>
      <c r="AF12" s="202">
        <v>0</v>
      </c>
      <c r="AG12" s="215">
        <v>91</v>
      </c>
      <c r="AH12" s="196">
        <v>117</v>
      </c>
      <c r="AI12" s="196">
        <v>139</v>
      </c>
      <c r="AJ12" s="216">
        <v>69</v>
      </c>
      <c r="AK12" s="195">
        <v>0</v>
      </c>
      <c r="AL12" s="196">
        <v>0</v>
      </c>
      <c r="AM12" s="196">
        <v>0</v>
      </c>
      <c r="AN12" s="202">
        <v>0</v>
      </c>
      <c r="AO12" s="283">
        <v>3</v>
      </c>
      <c r="AP12" s="168">
        <v>3</v>
      </c>
      <c r="AQ12" s="168">
        <v>3</v>
      </c>
      <c r="AR12" s="167">
        <v>3</v>
      </c>
      <c r="AS12" s="381" t="s">
        <v>1075</v>
      </c>
      <c r="AT12" s="216"/>
      <c r="AU12" s="215"/>
      <c r="AV12" s="216"/>
      <c r="AW12" s="215"/>
      <c r="AX12" s="216"/>
      <c r="AY12" s="136">
        <f t="shared" si="1"/>
        <v>1827</v>
      </c>
      <c r="AZ12" s="137">
        <f t="shared" si="1"/>
        <v>2357</v>
      </c>
      <c r="BA12" s="137">
        <f t="shared" si="1"/>
        <v>2332</v>
      </c>
      <c r="BB12" s="137">
        <f t="shared" si="1"/>
        <v>1852</v>
      </c>
      <c r="BC12" s="135">
        <f>IF(ISNUMBER(X12),X12," - ")</f>
        <v>916</v>
      </c>
      <c r="BD12" s="136">
        <f t="shared" si="2"/>
        <v>0.98939329656342812</v>
      </c>
      <c r="BE12" s="137">
        <f t="shared" si="3"/>
        <v>0.79416809605488847</v>
      </c>
      <c r="BF12" s="137">
        <f t="shared" si="4"/>
        <v>0.39279588336192112</v>
      </c>
      <c r="BG12" s="209">
        <f t="shared" si="5"/>
        <v>1.7941680960548885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1816</v>
      </c>
      <c r="J14" s="197">
        <f t="shared" si="7"/>
        <v>3088</v>
      </c>
      <c r="K14" s="197">
        <f t="shared" si="7"/>
        <v>2278</v>
      </c>
      <c r="L14" s="197">
        <f t="shared" si="7"/>
        <v>2495</v>
      </c>
      <c r="M14" s="197">
        <f t="shared" si="7"/>
        <v>488</v>
      </c>
      <c r="N14" s="197">
        <f t="shared" si="7"/>
        <v>967</v>
      </c>
      <c r="O14" s="197">
        <f t="shared" si="7"/>
        <v>1026</v>
      </c>
      <c r="P14" s="197">
        <f t="shared" si="7"/>
        <v>793</v>
      </c>
      <c r="Q14" s="197">
        <f t="shared" si="7"/>
        <v>918</v>
      </c>
      <c r="R14" s="197">
        <f t="shared" si="7"/>
        <v>2958</v>
      </c>
      <c r="S14" s="197">
        <f t="shared" si="7"/>
        <v>1764</v>
      </c>
      <c r="T14" s="197">
        <f t="shared" si="7"/>
        <v>2266</v>
      </c>
      <c r="U14" s="197">
        <f t="shared" si="7"/>
        <v>2214</v>
      </c>
      <c r="V14" s="197">
        <f t="shared" si="7"/>
        <v>1816</v>
      </c>
      <c r="W14" s="197">
        <f t="shared" si="7"/>
        <v>557</v>
      </c>
      <c r="X14" s="197">
        <f t="shared" si="7"/>
        <v>923</v>
      </c>
      <c r="Y14" s="197">
        <f t="shared" si="7"/>
        <v>69</v>
      </c>
      <c r="Z14" s="197">
        <f t="shared" si="7"/>
        <v>286</v>
      </c>
      <c r="AA14" s="197">
        <f t="shared" si="7"/>
        <v>162</v>
      </c>
      <c r="AB14" s="197">
        <f t="shared" si="7"/>
        <v>183</v>
      </c>
      <c r="AC14" s="197">
        <f t="shared" si="7"/>
        <v>0</v>
      </c>
      <c r="AD14" s="197">
        <f t="shared" si="7"/>
        <v>0</v>
      </c>
      <c r="AE14" s="197">
        <f t="shared" si="7"/>
        <v>0</v>
      </c>
      <c r="AF14" s="197">
        <f>SUBTOTAL(9,AF9:AF13)</f>
        <v>0</v>
      </c>
      <c r="AG14" s="197">
        <f t="shared" ref="AG14:AT14" si="8">SUBTOTAL(9,AG8:AG13)</f>
        <v>91</v>
      </c>
      <c r="AH14" s="197">
        <f t="shared" si="8"/>
        <v>117</v>
      </c>
      <c r="AI14" s="197">
        <f t="shared" si="8"/>
        <v>139</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1855</v>
      </c>
      <c r="AZ14" s="197">
        <f>SUBTOTAL(9,AZ8:AZ13)</f>
        <v>2383</v>
      </c>
      <c r="BA14" s="197">
        <f>SUBTOTAL(9,BA8:BA13)</f>
        <v>2353</v>
      </c>
      <c r="BB14" s="197">
        <f>SUBTOTAL(9,BB8:BB13)</f>
        <v>1885</v>
      </c>
      <c r="BC14" s="197">
        <f>SUBTOTAL(9,BC8:BC13)</f>
        <v>925</v>
      </c>
      <c r="BD14" s="219">
        <f>IF(ISNUMBER(BA14/AZ14),BA14/AZ14," - ")</f>
        <v>0.98741082668904745</v>
      </c>
      <c r="BE14" s="220">
        <f>IF(ISNUMBER(BB14/BA14),BB14/BA14, " - ")</f>
        <v>0.80110497237569056</v>
      </c>
      <c r="BF14" s="220">
        <f>IF(ISNUMBER(BC14/BA14),BC14/BA14, " - ")</f>
        <v>0.39311517212069697</v>
      </c>
      <c r="BG14" s="221">
        <f>IF(ISNUMBER((AY14+AZ14)/BA14),(AY14+AZ14)/BA14," - ")</f>
        <v>1.8011049723756907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1263</v>
      </c>
      <c r="J17" s="196">
        <v>3722</v>
      </c>
      <c r="K17" s="196">
        <v>3515</v>
      </c>
      <c r="L17" s="196">
        <v>1435</v>
      </c>
      <c r="M17" s="196">
        <v>255</v>
      </c>
      <c r="N17" s="196">
        <v>2737</v>
      </c>
      <c r="O17" s="194">
        <v>2</v>
      </c>
      <c r="P17" s="196">
        <v>73</v>
      </c>
      <c r="Q17" s="196">
        <v>37</v>
      </c>
      <c r="R17" s="196">
        <v>99</v>
      </c>
      <c r="S17" s="196">
        <v>1192</v>
      </c>
      <c r="T17" s="196">
        <v>3154</v>
      </c>
      <c r="U17" s="196">
        <v>3083</v>
      </c>
      <c r="V17" s="196">
        <v>1263</v>
      </c>
      <c r="W17" s="196">
        <v>344</v>
      </c>
      <c r="X17" s="202">
        <v>2163</v>
      </c>
      <c r="Y17" s="215">
        <v>0</v>
      </c>
      <c r="Z17" s="196">
        <v>0</v>
      </c>
      <c r="AA17" s="196">
        <v>0</v>
      </c>
      <c r="AB17" s="196">
        <v>0</v>
      </c>
      <c r="AC17" s="196">
        <v>7</v>
      </c>
      <c r="AD17" s="196">
        <v>119</v>
      </c>
      <c r="AE17" s="196">
        <v>119</v>
      </c>
      <c r="AF17" s="202">
        <v>7</v>
      </c>
      <c r="AG17" s="215">
        <v>0</v>
      </c>
      <c r="AH17" s="196">
        <v>0</v>
      </c>
      <c r="AI17" s="196">
        <v>0</v>
      </c>
      <c r="AJ17" s="216">
        <v>0</v>
      </c>
      <c r="AK17" s="195">
        <v>6</v>
      </c>
      <c r="AL17" s="196">
        <v>102</v>
      </c>
      <c r="AM17" s="196">
        <v>101</v>
      </c>
      <c r="AN17" s="202">
        <v>7</v>
      </c>
      <c r="AO17" s="283">
        <v>3</v>
      </c>
      <c r="AP17" s="168">
        <v>3</v>
      </c>
      <c r="AQ17" s="168">
        <v>3</v>
      </c>
      <c r="AR17" s="168">
        <v>3</v>
      </c>
      <c r="AS17" s="381" t="s">
        <v>650</v>
      </c>
      <c r="AT17" s="216"/>
      <c r="AU17" s="215"/>
      <c r="AV17" s="216"/>
      <c r="AW17" s="215"/>
      <c r="AX17" s="216"/>
      <c r="AY17" s="136">
        <f t="shared" si="10"/>
        <v>1192</v>
      </c>
      <c r="AZ17" s="137">
        <f t="shared" si="10"/>
        <v>3154</v>
      </c>
      <c r="BA17" s="137">
        <f t="shared" si="10"/>
        <v>3083</v>
      </c>
      <c r="BB17" s="137">
        <f t="shared" si="10"/>
        <v>1263</v>
      </c>
      <c r="BC17" s="135">
        <f>IF(ISNUMBER(W17),W17," - ")</f>
        <v>344</v>
      </c>
      <c r="BD17" s="136">
        <f t="shared" ref="BD17:BD22" si="12">IF(ISNUMBER(BA17/AZ17),BA17/AZ17," - ")</f>
        <v>0.97748890298034241</v>
      </c>
      <c r="BE17" s="137">
        <f t="shared" ref="BE17:BE22" si="13">IF(ISNUMBER(BB17/BA17),BB17/BA17, " - ")</f>
        <v>0.40966590982808954</v>
      </c>
      <c r="BF17" s="137">
        <f t="shared" ref="BF17:BF22" si="14">IF(ISNUMBER(BC17/BA17),BC17/BA17, " - ")</f>
        <v>0.11157963023029517</v>
      </c>
      <c r="BG17" s="209">
        <f t="shared" si="11"/>
        <v>1.4096659098280895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185</v>
      </c>
      <c r="J18" s="196">
        <v>249</v>
      </c>
      <c r="K18" s="196">
        <v>183</v>
      </c>
      <c r="L18" s="196">
        <v>251</v>
      </c>
      <c r="M18" s="196">
        <v>13</v>
      </c>
      <c r="N18" s="196">
        <v>127</v>
      </c>
      <c r="O18" s="196">
        <v>1</v>
      </c>
      <c r="P18" s="196">
        <v>1</v>
      </c>
      <c r="Q18" s="196">
        <v>1</v>
      </c>
      <c r="R18" s="196">
        <v>0</v>
      </c>
      <c r="S18" s="196">
        <v>133</v>
      </c>
      <c r="T18" s="196">
        <v>249</v>
      </c>
      <c r="U18" s="196">
        <v>197</v>
      </c>
      <c r="V18" s="196">
        <v>185</v>
      </c>
      <c r="W18" s="196">
        <v>18</v>
      </c>
      <c r="X18" s="202">
        <v>151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133</v>
      </c>
      <c r="AZ18" s="139">
        <f t="shared" si="15"/>
        <v>249</v>
      </c>
      <c r="BA18" s="139">
        <f t="shared" si="15"/>
        <v>197</v>
      </c>
      <c r="BB18" s="139">
        <f t="shared" si="15"/>
        <v>185</v>
      </c>
      <c r="BC18" s="135">
        <f>IF(ISNUMBER(W18),W18," - ")</f>
        <v>18</v>
      </c>
      <c r="BD18" s="136">
        <f>IF(ISNUMBER(BA18/AZ18),BA18/AZ18," - ")</f>
        <v>0.79116465863453811</v>
      </c>
      <c r="BE18" s="137">
        <f>IF(ISNUMBER(BB18/BA18),BB18/BA18, " - ")</f>
        <v>0.93908629441624369</v>
      </c>
      <c r="BF18" s="137">
        <f>IF(ISNUMBER(BC18/BA18),BC18/BA18, " - ")</f>
        <v>9.1370558375634514E-2</v>
      </c>
      <c r="BG18" s="209">
        <f>IF(ISNUMBER((AY18+AZ18)/BA18),(AY18+AZ18)/BA18," - ")</f>
        <v>1.9390862944162437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1448</v>
      </c>
      <c r="J23" s="197">
        <f t="shared" si="21"/>
        <v>3971</v>
      </c>
      <c r="K23" s="197">
        <f t="shared" si="21"/>
        <v>3698</v>
      </c>
      <c r="L23" s="197">
        <f t="shared" si="21"/>
        <v>1686</v>
      </c>
      <c r="M23" s="197">
        <f t="shared" si="21"/>
        <v>268</v>
      </c>
      <c r="N23" s="197">
        <f t="shared" si="21"/>
        <v>2864</v>
      </c>
      <c r="O23" s="197">
        <f t="shared" si="21"/>
        <v>3</v>
      </c>
      <c r="P23" s="197">
        <f t="shared" si="21"/>
        <v>74</v>
      </c>
      <c r="Q23" s="197">
        <f t="shared" si="21"/>
        <v>38</v>
      </c>
      <c r="R23" s="197">
        <f t="shared" si="21"/>
        <v>99</v>
      </c>
      <c r="S23" s="197">
        <f t="shared" si="21"/>
        <v>1325</v>
      </c>
      <c r="T23" s="197">
        <f t="shared" si="21"/>
        <v>3403</v>
      </c>
      <c r="U23" s="197">
        <f t="shared" si="21"/>
        <v>3280</v>
      </c>
      <c r="V23" s="197">
        <f t="shared" si="21"/>
        <v>1448</v>
      </c>
      <c r="W23" s="197">
        <f t="shared" si="21"/>
        <v>362</v>
      </c>
      <c r="X23" s="197">
        <f t="shared" si="21"/>
        <v>2314</v>
      </c>
      <c r="Y23" s="197">
        <f t="shared" si="21"/>
        <v>0</v>
      </c>
      <c r="Z23" s="197">
        <f t="shared" si="21"/>
        <v>0</v>
      </c>
      <c r="AA23" s="197">
        <f t="shared" si="21"/>
        <v>0</v>
      </c>
      <c r="AB23" s="197">
        <f t="shared" si="21"/>
        <v>0</v>
      </c>
      <c r="AC23" s="197">
        <f t="shared" si="21"/>
        <v>7</v>
      </c>
      <c r="AD23" s="197">
        <f t="shared" si="21"/>
        <v>119</v>
      </c>
      <c r="AE23" s="197">
        <f t="shared" si="21"/>
        <v>119</v>
      </c>
      <c r="AF23" s="197">
        <f t="shared" si="21"/>
        <v>7</v>
      </c>
      <c r="AG23" s="197">
        <f t="shared" si="21"/>
        <v>0</v>
      </c>
      <c r="AH23" s="197">
        <f t="shared" si="21"/>
        <v>0</v>
      </c>
      <c r="AI23" s="197">
        <f t="shared" si="21"/>
        <v>0</v>
      </c>
      <c r="AJ23" s="197">
        <f t="shared" si="21"/>
        <v>0</v>
      </c>
      <c r="AK23" s="197">
        <f t="shared" si="21"/>
        <v>6</v>
      </c>
      <c r="AL23" s="197">
        <f t="shared" si="21"/>
        <v>102</v>
      </c>
      <c r="AM23" s="197">
        <f t="shared" si="21"/>
        <v>101</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1325</v>
      </c>
      <c r="AZ23" s="197">
        <f>SUBTOTAL(9,AZ15:AZ22)</f>
        <v>3403</v>
      </c>
      <c r="BA23" s="197">
        <f>SUBTOTAL(9,BA15:BA22)</f>
        <v>3280</v>
      </c>
      <c r="BB23" s="197">
        <f>SUBTOTAL(9,BB15:BB22)</f>
        <v>1448</v>
      </c>
      <c r="BC23" s="197">
        <f>SUBTOTAL(9,BC15:BC22)</f>
        <v>362</v>
      </c>
      <c r="BD23" s="219">
        <f>IF(ISNUMBER(BA23/AZ23),BA23/AZ23," - ")</f>
        <v>0.96385542168674698</v>
      </c>
      <c r="BE23" s="220">
        <f>IF(ISNUMBER(BB23/BA23),BB23/BA23, " - ")</f>
        <v>0.44146341463414634</v>
      </c>
      <c r="BF23" s="220">
        <f>IF(ISNUMBER(BC23/BA23),BC23/BA23, " - ")</f>
        <v>0.11036585365853659</v>
      </c>
      <c r="BG23" s="221">
        <f>IF(ISNUMBER((AY23+AZ23)/BA23),(AY23+AZ23)/BA23," - ")</f>
        <v>1.4414634146341463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3264</v>
      </c>
      <c r="J31" s="144">
        <f t="shared" si="36"/>
        <v>7059</v>
      </c>
      <c r="K31" s="144">
        <f t="shared" si="36"/>
        <v>5976</v>
      </c>
      <c r="L31" s="144">
        <f t="shared" si="36"/>
        <v>4181</v>
      </c>
      <c r="M31" s="144">
        <f t="shared" si="36"/>
        <v>756</v>
      </c>
      <c r="N31" s="144">
        <f t="shared" si="36"/>
        <v>3831</v>
      </c>
      <c r="O31" s="144">
        <f t="shared" si="36"/>
        <v>1029</v>
      </c>
      <c r="P31" s="144">
        <f t="shared" si="36"/>
        <v>867</v>
      </c>
      <c r="Q31" s="144">
        <f t="shared" si="36"/>
        <v>956</v>
      </c>
      <c r="R31" s="144">
        <f t="shared" si="36"/>
        <v>3057</v>
      </c>
      <c r="S31" s="144">
        <f t="shared" si="36"/>
        <v>3089</v>
      </c>
      <c r="T31" s="144">
        <f t="shared" si="36"/>
        <v>5669</v>
      </c>
      <c r="U31" s="144">
        <f t="shared" si="36"/>
        <v>5494</v>
      </c>
      <c r="V31" s="144">
        <f t="shared" si="36"/>
        <v>3264</v>
      </c>
      <c r="W31" s="144">
        <f t="shared" si="36"/>
        <v>919</v>
      </c>
      <c r="X31" s="144">
        <f t="shared" si="36"/>
        <v>3237</v>
      </c>
      <c r="Y31" s="144">
        <f t="shared" si="36"/>
        <v>69</v>
      </c>
      <c r="Z31" s="144">
        <f t="shared" si="36"/>
        <v>286</v>
      </c>
      <c r="AA31" s="144">
        <f t="shared" si="36"/>
        <v>162</v>
      </c>
      <c r="AB31" s="144">
        <f t="shared" si="36"/>
        <v>183</v>
      </c>
      <c r="AC31" s="144">
        <f t="shared" si="36"/>
        <v>7</v>
      </c>
      <c r="AD31" s="144">
        <f t="shared" si="36"/>
        <v>119</v>
      </c>
      <c r="AE31" s="144">
        <f t="shared" si="36"/>
        <v>119</v>
      </c>
      <c r="AF31" s="144">
        <f t="shared" si="36"/>
        <v>7</v>
      </c>
      <c r="AG31" s="144">
        <f t="shared" si="36"/>
        <v>91</v>
      </c>
      <c r="AH31" s="144">
        <f t="shared" si="36"/>
        <v>117</v>
      </c>
      <c r="AI31" s="144">
        <f t="shared" si="36"/>
        <v>139</v>
      </c>
      <c r="AJ31" s="144">
        <f t="shared" si="36"/>
        <v>69</v>
      </c>
      <c r="AK31" s="144">
        <f t="shared" si="36"/>
        <v>6</v>
      </c>
      <c r="AL31" s="144">
        <f t="shared" si="36"/>
        <v>102</v>
      </c>
      <c r="AM31" s="144">
        <f t="shared" si="36"/>
        <v>101</v>
      </c>
      <c r="AN31" s="224">
        <f t="shared" si="36"/>
        <v>7</v>
      </c>
      <c r="AO31" s="225">
        <v>4</v>
      </c>
      <c r="AP31" s="225">
        <v>3</v>
      </c>
      <c r="AQ31" s="225">
        <v>3</v>
      </c>
      <c r="AR31" s="225">
        <v>3</v>
      </c>
      <c r="AS31" s="166">
        <f t="shared" si="36"/>
        <v>0</v>
      </c>
      <c r="AT31" s="166">
        <f t="shared" si="36"/>
        <v>0</v>
      </c>
      <c r="AU31" s="225"/>
      <c r="AV31" s="226"/>
      <c r="AW31" s="225"/>
      <c r="AX31" s="226"/>
      <c r="AY31" s="143">
        <f>SUBTOTAL(9,AY9:AY30)</f>
        <v>3180</v>
      </c>
      <c r="AZ31" s="144">
        <f>SUBTOTAL(9,AZ9:AZ30)</f>
        <v>5786</v>
      </c>
      <c r="BA31" s="144">
        <f>SUBTOTAL(9,BA9:BA30)</f>
        <v>5633</v>
      </c>
      <c r="BB31" s="144">
        <f>SUBTOTAL(9,BB9:BB30)</f>
        <v>3333</v>
      </c>
      <c r="BC31" s="145">
        <f>SUBTOTAL(9,BC9:BC30)</f>
        <v>1287</v>
      </c>
      <c r="BD31" s="227">
        <f>IF(ISNUMBER(BA31/AZ31),BA31/AZ31," - ")</f>
        <v>0.97355686138956099</v>
      </c>
      <c r="BE31" s="224">
        <f>IF(ISNUMBER(BB31/BA31),BB31/BA31, " - ")</f>
        <v>0.59169181608379195</v>
      </c>
      <c r="BF31" s="224">
        <f>IF(ISNUMBER(BC31/BA31),BC31/BA31, " - ")</f>
        <v>0.22847505769572163</v>
      </c>
      <c r="BG31" s="145">
        <f>IF(ISNUMBER((AY31+AZ31)/BA31),(AY31+AZ31)/BA31," - ")</f>
        <v>1.5916918160837918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SBoYChrqKWwHjPmFhETguh3Ea0NhHoiHm+RwuVxbalxiswDt/16DTZYR7O3ndKoqa6xUURLWp4Xjvz9rxOCGQ==" saltValue="ESJPPGF0Dl+RW2F2+FyH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Yh08xX78s82NohzpYIe/xOABUUqvC9UazuUu0gqeHqSONv58nEMDNdO6SWbIkJv0E0buJsVwHnBApjLcpiAA==" saltValue="eWPOEFeBZgkAHiDpEHlN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VALLS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20</v>
      </c>
      <c r="AD10" s="549"/>
      <c r="AE10" s="563"/>
      <c r="AF10" s="551">
        <f>IF(ISNUMBER(Datos!L10),Datos!L10,"-")</f>
        <v>43</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13</v>
      </c>
      <c r="BE10" s="693" t="str">
        <f>IF(ISNUMBER(Datos!BW10),Datos!BW10," - ")</f>
        <v xml:space="preserve"> - </v>
      </c>
      <c r="BF10" s="762" t="str">
        <f>IF(ISNUMBER(Datos!BX10),Datos!BX10," - ")</f>
        <v xml:space="preserve"> - </v>
      </c>
      <c r="BG10" s="763">
        <f>IF(ISNUMBER(Datos!K10/Datos!J10),Datos!K10/Datos!J10," - ")</f>
        <v>0.77272727272727271</v>
      </c>
      <c r="BH10" s="764">
        <f>IF(ISNUMBER(((Datos!L10/Datos!K10)*11)/factor_trimestre),((Datos!L10/Datos!K10)*11)/factor_trimestre," - ")</f>
        <v>13.911764705882351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-0.46153846153846156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286</v>
      </c>
      <c r="O12" s="549"/>
      <c r="P12" s="549"/>
      <c r="Q12" s="547">
        <f>IF(ISNUMBER(Datos!P12),Datos!P12,0)</f>
        <v>785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183</v>
      </c>
      <c r="AI12" s="549" t="str">
        <f>IF(ISNUMBER(Datos!CD12),Datos!CD12,"-")</f>
        <v>-</v>
      </c>
      <c r="AJ12" s="549" t="str">
        <f>IF(ISNUMBER(Datos!EN12),Datos!EN12," - ")</f>
        <v xml:space="preserve"> - </v>
      </c>
      <c r="AK12" s="549"/>
      <c r="AL12" s="550"/>
      <c r="AM12" s="766">
        <f>IF(ISNUMBER(Datos!R12),Datos!R12," - ")</f>
        <v>2944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475</v>
      </c>
      <c r="BD12" s="693">
        <f>IF(ISNUMBER(Datos!N12),Datos!N12," - ")</f>
        <v>954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0.72252252252252247</v>
      </c>
      <c r="BH12" s="764">
        <f>IF(ISNUMBER(((IF(J_V="SI",Datos!L12/Datos!K12,(Datos!L12+Datos!AB12)/(Datos!K12+Datos!AA12)))*11)/factor_trimestre),((IF(J_V="SI",Datos!L12/Datos!K12,(Datos!L12+Datos!AB12)/(Datos!K12+Datos!AA12)))*11)/factor_trimestre," - ")</f>
        <v>12.046965918536991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-3.6964344128230291E-2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286</v>
      </c>
      <c r="O14" s="1199">
        <f t="shared" si="1"/>
        <v>0</v>
      </c>
      <c r="P14" s="1199">
        <f t="shared" si="1"/>
        <v>0</v>
      </c>
      <c r="Q14" s="1198">
        <f t="shared" si="1"/>
        <v>793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918</v>
      </c>
      <c r="AD14" s="1198">
        <f t="shared" si="2"/>
        <v>0</v>
      </c>
      <c r="AE14" s="1198">
        <f t="shared" si="2"/>
        <v>0</v>
      </c>
      <c r="AF14" s="1198">
        <f t="shared" si="2"/>
        <v>43</v>
      </c>
      <c r="AG14" s="1198">
        <f t="shared" si="2"/>
        <v>0</v>
      </c>
      <c r="AH14" s="1198">
        <f t="shared" si="2"/>
        <v>183</v>
      </c>
      <c r="AI14" s="1198">
        <f t="shared" si="2"/>
        <v>0</v>
      </c>
      <c r="AJ14" s="1198">
        <f t="shared" si="2"/>
        <v>0</v>
      </c>
      <c r="AK14" s="1198">
        <f t="shared" si="2"/>
        <v>0</v>
      </c>
      <c r="AL14" s="1198">
        <f t="shared" si="2"/>
        <v>0</v>
      </c>
      <c r="AM14" s="1198">
        <f t="shared" si="2"/>
        <v>2958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488</v>
      </c>
      <c r="BD14" s="1198">
        <f t="shared" si="2"/>
        <v>967</v>
      </c>
      <c r="BE14" s="1198">
        <f t="shared" si="2"/>
        <v>0</v>
      </c>
      <c r="BF14" s="1198">
        <f t="shared" si="2"/>
        <v>0</v>
      </c>
      <c r="BG14" s="1198">
        <f>IF(ISNUMBER(Datos!K14/Datos!J14),Datos!K14/Datos!J14," - ")</f>
        <v>0.73769430051813467</v>
      </c>
      <c r="BH14" s="1202">
        <f>IF(ISNUMBER(((Datos!L14/Datos!K14)*11)/factor_trimestre),((Datos!L14/Datos!K14)*11)/factor_trimestre," - ")</f>
        <v>12.047848990342406</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-1.0303030303030303</v>
      </c>
      <c r="BM14" s="1203">
        <f>SUBTOTAL(9,BM9:BM13)</f>
        <v>-0.49850280566669186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1228</v>
      </c>
      <c r="G17" s="743">
        <f>IF(ISNUMBER(IF(D_I="SI",Datos!I17,Datos!I17+Datos!AC17)),IF(D_I="SI",Datos!I17,Datos!I17+Datos!AC17)," - ")</f>
        <v>1263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3515</v>
      </c>
      <c r="AC17" s="240">
        <f>IF(ISNUMBER(Datos!Q17),Datos!Q17," - ")</f>
        <v>37</v>
      </c>
      <c r="AD17" s="374"/>
      <c r="AE17" s="562"/>
      <c r="AF17" s="741">
        <f>IF(ISNUMBER(IF(D_I="SI",Datos!L17,Datos!L17+Datos!AF17)),IF(D_I="SI",Datos!L17,Datos!L17+Datos!AF17)," - ")</f>
        <v>1435</v>
      </c>
      <c r="AG17" s="374"/>
      <c r="AH17" s="374"/>
      <c r="AI17" s="374"/>
      <c r="AJ17" s="549"/>
      <c r="AK17" s="374"/>
      <c r="AL17" s="545"/>
      <c r="AM17" s="375">
        <f>IF(ISNUMBER(Datos!R17),Datos!R17," - ")</f>
        <v>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255</v>
      </c>
      <c r="BD17" s="243">
        <f>IF(ISNUMBER(Datos!N17),Datos!N17," - ")</f>
        <v>2737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0.94438473938742606</v>
      </c>
      <c r="BH17" s="764">
        <f>IF(ISNUMBER(((IF(D_I="SI",Datos!L17/Datos!K17,(Datos!L17+Datos!AF17)/(Datos!K17+Datos!AE17)))*11)/factor_trimestre),((IF(D_I="SI",Datos!L17/Datos!K17,(Datos!L17+Datos!AF17)/(Datos!K17+Datos!AE17)))*11)/factor_trimestre," - ")</f>
        <v>4.4907539118065429</v>
      </c>
      <c r="BI17" s="266">
        <f>IF(ISNUMBER('Resol  Asuntos'!D17/NºAsuntos!G17),'Resol  Asuntos'!D17/NºAsuntos!G17," - ")</f>
        <v>7.254623044096728E-2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183</v>
      </c>
      <c r="AC18" s="547">
        <f>IF(ISNUMBER(Datos!Q18),Datos!Q18," - ")</f>
        <v>1</v>
      </c>
      <c r="AD18" s="549"/>
      <c r="AE18" s="562"/>
      <c r="AF18" s="551">
        <f>IF(ISNUMBER(Datos!L18),Datos!L18,"-")</f>
        <v>251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0.73493975903614461</v>
      </c>
      <c r="BH18" s="764">
        <f>IF(ISNUMBER(((IF(D_I="SI",Datos!L18/Datos!K18,(Datos!L18+Datos!AF18)/(Datos!K18+Datos!AE18)))*11)/factor_trimestre),((IF(D_I="SI",Datos!L18/Datos!K18,(Datos!L18+Datos!AF18)/(Datos!K18+Datos!AE18)))*11)/factor_trimestre," - ")</f>
        <v>15.087431693989071</v>
      </c>
      <c r="BI18" s="763">
        <f>IF(ISNUMBER('Resol  Asuntos'!D18/NºAsuntos!G18),'Resol  Asuntos'!D18/NºAsuntos!G18," - ")</f>
        <v>7.1038251366120214E-2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1228</v>
      </c>
      <c r="G23" s="1197">
        <f>SUBTOTAL(9,G16:G22)</f>
        <v>1448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3698</v>
      </c>
      <c r="AC23" s="1198">
        <f t="shared" si="5"/>
        <v>38</v>
      </c>
      <c r="AD23" s="1198">
        <f t="shared" si="5"/>
        <v>0</v>
      </c>
      <c r="AE23" s="1198">
        <f t="shared" si="5"/>
        <v>0</v>
      </c>
      <c r="AF23" s="1198">
        <f t="shared" si="5"/>
        <v>1686</v>
      </c>
      <c r="AG23" s="1198">
        <f t="shared" si="5"/>
        <v>0</v>
      </c>
      <c r="AH23" s="1198">
        <f t="shared" si="5"/>
        <v>0</v>
      </c>
      <c r="AI23" s="1198">
        <f t="shared" si="5"/>
        <v>0</v>
      </c>
      <c r="AJ23" s="1198">
        <f t="shared" si="5"/>
        <v>0</v>
      </c>
      <c r="AK23" s="1198">
        <f t="shared" si="5"/>
        <v>0</v>
      </c>
      <c r="AL23" s="1198">
        <f t="shared" si="5"/>
        <v>0</v>
      </c>
      <c r="AM23" s="1198">
        <f t="shared" si="5"/>
        <v>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268</v>
      </c>
      <c r="BD23" s="1198">
        <f t="shared" si="5"/>
        <v>2864</v>
      </c>
      <c r="BE23" s="1198">
        <f t="shared" si="5"/>
        <v>0</v>
      </c>
      <c r="BF23" s="1198">
        <f t="shared" si="5"/>
        <v>0</v>
      </c>
      <c r="BG23" s="1198">
        <f>IF(ISNUMBER(Datos!K23/Datos!J23),Datos!K23/Datos!J23," - ")</f>
        <v>0.93125157391085367</v>
      </c>
      <c r="BH23" s="1202">
        <f>IF(ISNUMBER(((Datos!L23/Datos!K23)*11)/factor_trimestre),((Datos!L23/Datos!K23)*11)/factor_trimestre," - ")</f>
        <v>5.0151433207139</v>
      </c>
      <c r="BI23" s="1198">
        <f>SUBTOTAL(9,BI16:BI22)</f>
        <v>0.14358448180708749</v>
      </c>
      <c r="BJ23" s="1198">
        <f>SUBTOTAL(9,BJ16:BJ22)</f>
        <v>0</v>
      </c>
      <c r="BK23" s="1198">
        <f>SUBTOTAL(9,BK16:BK22)</f>
        <v>0</v>
      </c>
      <c r="BL23" s="1198">
        <f>IF(ISNUMBER((I23-AB23+L23)/(F23)),(I23-AB23+L23)/(F23)," - ")</f>
        <v>-3.0114006514657978</v>
      </c>
      <c r="BM23" s="1205">
        <f>IF(ISNUMBER((Datos!P23-Datos!Q23)/(Datos!R23-Datos!P23+Datos!Q23)),(Datos!P23-Datos!Q23)/(Datos!R23-Datos!P23+Datos!Q23)," - ")</f>
        <v>0.5714285714285714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1261</v>
      </c>
      <c r="G31" s="1117">
        <f t="shared" si="18"/>
        <v>1481</v>
      </c>
      <c r="H31" s="1119">
        <f t="shared" si="18"/>
        <v>0</v>
      </c>
      <c r="I31" s="1117">
        <f t="shared" si="18"/>
        <v>0</v>
      </c>
      <c r="J31" s="1119">
        <f t="shared" si="18"/>
        <v>0</v>
      </c>
      <c r="K31" s="1119">
        <f t="shared" si="18"/>
        <v>0</v>
      </c>
      <c r="L31" s="1180">
        <f t="shared" si="18"/>
        <v>0</v>
      </c>
      <c r="M31" s="1180">
        <f t="shared" si="18"/>
        <v>0</v>
      </c>
      <c r="N31" s="1180">
        <f t="shared" si="18"/>
        <v>286</v>
      </c>
      <c r="O31" s="1180">
        <f t="shared" si="18"/>
        <v>0</v>
      </c>
      <c r="P31" s="1180">
        <f t="shared" si="18"/>
        <v>0</v>
      </c>
      <c r="Q31" s="1119">
        <f t="shared" si="18"/>
        <v>867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3732</v>
      </c>
      <c r="AC31" s="1118">
        <f t="shared" si="19"/>
        <v>956</v>
      </c>
      <c r="AD31" s="1118">
        <f t="shared" si="19"/>
        <v>0</v>
      </c>
      <c r="AE31" s="1118">
        <f t="shared" si="19"/>
        <v>0</v>
      </c>
      <c r="AF31" s="1125">
        <f t="shared" si="19"/>
        <v>1729</v>
      </c>
      <c r="AG31" s="1125">
        <f t="shared" si="19"/>
        <v>0</v>
      </c>
      <c r="AH31" s="1125">
        <f t="shared" si="19"/>
        <v>183</v>
      </c>
      <c r="AI31" s="1125">
        <f t="shared" si="19"/>
        <v>0</v>
      </c>
      <c r="AJ31" s="1118">
        <f t="shared" si="19"/>
        <v>0</v>
      </c>
      <c r="AK31" s="1125">
        <f t="shared" si="19"/>
        <v>0</v>
      </c>
      <c r="AL31" s="1125">
        <f t="shared" si="19"/>
        <v>0</v>
      </c>
      <c r="AM31" s="1125">
        <f t="shared" si="19"/>
        <v>3057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756</v>
      </c>
      <c r="BD31" s="1117">
        <f t="shared" si="19"/>
        <v>3831</v>
      </c>
      <c r="BE31" s="1117">
        <f t="shared" si="19"/>
        <v>0</v>
      </c>
      <c r="BF31" s="1127">
        <f t="shared" si="19"/>
        <v>0</v>
      </c>
      <c r="BG31" s="1223">
        <f>IF(ISNUMBER(Datos!K31/Datos!J31),Datos!K31/Datos!J31," - ")</f>
        <v>0.84657883552911173</v>
      </c>
      <c r="BH31" s="1223">
        <f>IF(ISNUMBER(((Datos!L31/Datos!K31)*11)/factor_trimestre),((Datos!L31/Datos!K31)*11)/factor_trimestre," - ")</f>
        <v>7.6959504685408309</v>
      </c>
      <c r="BI31" s="1103">
        <f>IF(ISNUMBER(Datos!J31/Datos!I31),Datos!J31/Datos!I31," - ")</f>
        <v>2.1626838235294117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-2.9595559080095164</v>
      </c>
      <c r="BM31" s="1188">
        <f>IF(ISNUMBER((Datos!P31-Datos!Q31+R31)/(Datos!R31-Datos!P31+Datos!Q31-R31)),(Datos!P31-Datos!Q31+R31)/(Datos!R31-Datos!P31+Datos!Q31-R31)," - ")</f>
        <v>-2.8289891926255563E-2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625.78995411133496</v>
      </c>
      <c r="G33" s="674">
        <f>IF(ISNUMBER(STDEV(G8:G30)),STDEV(G8:G30),"-")</f>
        <v>642.25213859029657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1737.2139298587374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212.19532780638019</v>
      </c>
      <c r="BD33" s="673"/>
      <c r="BE33" s="673">
        <f>IF(ISNUMBER(STDEV(BE8:BE30)),STDEV(BE8:BE30),"-")</f>
        <v>0</v>
      </c>
      <c r="BF33" s="678">
        <f>IF(ISNUMBER(STDEV(BF8:BF30)),STDEV(BF8:BF30),"-")</f>
        <v>0</v>
      </c>
      <c r="BG33" s="1052">
        <f>IF(ISNUMBER(STDEV(BG8:BG30)),STDEV(BG8:BG30),"-")</f>
        <v>0.10258621489083165</v>
      </c>
      <c r="BH33" s="1058">
        <f>IF(ISNUMBER(STDEV(BH8:BH30)),STDEV(BH8:BH30),"-")</f>
        <v>4.5528369284119714</v>
      </c>
      <c r="BI33" s="273">
        <f>IF(ISNUMBER(STDEV(BI8:BI30)),STDEV(BI8:BI30),"-")</f>
        <v>6.2162401141237944E-2</v>
      </c>
      <c r="BJ33" s="244" t="str">
        <f>IF(ISNUMBER(BL33/BM33),BL33/BM33," - ")</f>
        <v xml:space="preserve"> - </v>
      </c>
      <c r="BK33" s="709"/>
      <c r="BL33" s="681">
        <f>IF(ISNUMBER(STDEV(BL8:BL30)),STDEV(BL8:BL30),"-")</f>
        <v>1.4008475621167309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qtAkyYbn+QF3UQygyU6yFt9R6ONCo88XCl+LADLIyStk4FlKD2mnW4r1SJNRMaSIOwTb1lNMMwQ+0wEBzrlcg==" saltValue="MmMDHXQ7JxKwVPqrdX/p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VALLS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20</v>
      </c>
      <c r="AA10" s="551">
        <f>IF(ISNUMBER(Datos!L10),Datos!L10,"-")</f>
        <v>43</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13</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13.911764705882351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-0.46153846153846156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898</v>
      </c>
      <c r="AA12" s="551" t="str">
        <f>IF(ISNUMBER(IF(J_V="SI",Datos!L12,Datos!L12+Datos!AB12)-IF(Monitorios="SI",Datos!CD12,0)),
                          IF(J_V="SI",Datos!L12,Datos!L12+Datos!AB12)-IF(Monitorios="SI",Datos!CD12,0),
                          " - ")</f>
        <v xml:space="preserve"> - </v>
      </c>
      <c r="AB12" s="549"/>
      <c r="AC12" s="549"/>
      <c r="AD12" s="563"/>
      <c r="AE12" s="563">
        <f>IF(ISNUMBER(Datos!R12),Datos!R12," - ")</f>
        <v>2944</v>
      </c>
      <c r="AF12" s="693" t="str">
        <f>IF(ISNUMBER(Datos!BV12),Datos!BV12," - ")</f>
        <v xml:space="preserve"> - </v>
      </c>
      <c r="AG12" s="552" t="str">
        <f>IF(ISNUMBER(Datos!DV12),Datos!DV12," - ")</f>
        <v xml:space="preserve"> - </v>
      </c>
      <c r="AH12" s="553"/>
      <c r="AI12" s="554"/>
      <c r="AJ12" s="552">
        <f>IF(ISNUMBER(Datos!M12),Datos!M12," - ")</f>
        <v>475</v>
      </c>
      <c r="AK12" s="693">
        <f>IF(ISNUMBER(Datos!N12),Datos!N12," - ")</f>
        <v>954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12.046965918536991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-3.6964344128230291E-2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793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918</v>
      </c>
      <c r="AA14" s="1199">
        <f t="shared" si="3"/>
        <v>43</v>
      </c>
      <c r="AB14" s="1199">
        <f t="shared" si="3"/>
        <v>0</v>
      </c>
      <c r="AC14" s="1199">
        <f t="shared" si="3"/>
        <v>0</v>
      </c>
      <c r="AD14" s="1199">
        <f t="shared" si="3"/>
        <v>0</v>
      </c>
      <c r="AE14" s="1199">
        <f t="shared" si="3"/>
        <v>2958</v>
      </c>
      <c r="AF14" s="1211">
        <f t="shared" si="3"/>
        <v>0</v>
      </c>
      <c r="AG14" s="1211">
        <f t="shared" si="3"/>
        <v>0</v>
      </c>
      <c r="AH14" s="1211">
        <f t="shared" si="3"/>
        <v>0</v>
      </c>
      <c r="AI14" s="1211">
        <f t="shared" si="3"/>
        <v>0</v>
      </c>
      <c r="AJ14" s="1211">
        <f t="shared" si="3"/>
        <v>488</v>
      </c>
      <c r="AK14" s="1211">
        <f t="shared" si="3"/>
        <v>967</v>
      </c>
      <c r="AL14" s="1211">
        <f t="shared" si="3"/>
        <v>0</v>
      </c>
      <c r="AM14" s="1211">
        <f t="shared" si="3"/>
        <v>0</v>
      </c>
      <c r="AN14" s="1211">
        <f t="shared" si="3"/>
        <v>0</v>
      </c>
      <c r="AO14" s="1203">
        <f>IF(ISNUMBER(((NºAsuntos!I14/NºAsuntos!G14)*11)/factor_trimestre),((NºAsuntos!I14/NºAsuntos!G14)*11)/factor_trimestre," - ")</f>
        <v>12.07295081967213</v>
      </c>
      <c r="AP14" s="1213" t="str">
        <f>IF(ISNUMBER(Datos!CI14/Datos!CJ14),Datos!CI14/Datos!CJ14," - ")</f>
        <v xml:space="preserve"> - </v>
      </c>
      <c r="AQ14" s="1236">
        <f t="shared" ref="AQ14:AV14" si="4">SUBTOTAL(9,AQ9:AQ13)</f>
        <v>0</v>
      </c>
      <c r="AR14" s="1236">
        <f t="shared" si="4"/>
        <v>-0.49850280566669186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1228</v>
      </c>
      <c r="G17" s="552">
        <f>IF(ISNUMBER(IF(D_I="SI",Datos!I17,Datos!I17+Datos!AC17)),IF(D_I="SI",Datos!I17,Datos!I17+Datos!AC17)," - ")</f>
        <v>1263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3515</v>
      </c>
      <c r="Z17" s="805">
        <f>IF(ISNUMBER(Datos!Q17),Datos!Q17," - ")</f>
        <v>37</v>
      </c>
      <c r="AA17" s="551">
        <f>IF(ISNUMBER(IF(D_I="SI",Datos!L17,Datos!L17+Datos!AF17)),IF(D_I="SI",Datos!L17,Datos!L17+Datos!AF17)," - ")</f>
        <v>1435</v>
      </c>
      <c r="AB17" s="549"/>
      <c r="AC17" s="549"/>
      <c r="AD17" s="563"/>
      <c r="AE17" s="563">
        <f>IF(ISNUMBER(Datos!R17),Datos!R17," - ")</f>
        <v>99</v>
      </c>
      <c r="AF17" s="693" t="str">
        <f>IF(ISNUMBER(Datos!BV17),Datos!BV17," - ")</f>
        <v xml:space="preserve"> - </v>
      </c>
      <c r="AG17" s="552"/>
      <c r="AH17" s="553"/>
      <c r="AI17" s="554"/>
      <c r="AJ17" s="552">
        <f>IF(ISNUMBER(Datos!M17),Datos!M17," - ")</f>
        <v>255</v>
      </c>
      <c r="AK17" s="693">
        <f>IF(ISNUMBER(Datos!N17),Datos!N17," - ")</f>
        <v>2737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4.4907539118065429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183</v>
      </c>
      <c r="Z18" s="805">
        <f>IF(ISNUMBER(Datos!Q18),Datos!Q18," - ")</f>
        <v>1</v>
      </c>
      <c r="AA18" s="551">
        <f>IF(ISNUMBER(Datos!L18),Datos!L18,"-")</f>
        <v>251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127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15.087431693989071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1228</v>
      </c>
      <c r="G23" s="1197">
        <f>SUBTOTAL(9,G16:G22)</f>
        <v>1448</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3698</v>
      </c>
      <c r="Z23" s="1240">
        <f t="shared" si="6"/>
        <v>38</v>
      </c>
      <c r="AA23" s="1240">
        <f t="shared" si="6"/>
        <v>1686</v>
      </c>
      <c r="AB23" s="1240">
        <f t="shared" si="6"/>
        <v>0</v>
      </c>
      <c r="AC23" s="1240">
        <f t="shared" si="6"/>
        <v>0</v>
      </c>
      <c r="AD23" s="1240">
        <f t="shared" si="6"/>
        <v>0</v>
      </c>
      <c r="AE23" s="1240">
        <f t="shared" si="6"/>
        <v>99</v>
      </c>
      <c r="AF23" s="1240">
        <f t="shared" si="6"/>
        <v>0</v>
      </c>
      <c r="AG23" s="1240">
        <f t="shared" si="6"/>
        <v>0</v>
      </c>
      <c r="AH23" s="1240">
        <f t="shared" si="6"/>
        <v>0</v>
      </c>
      <c r="AI23" s="1240">
        <f t="shared" si="6"/>
        <v>0</v>
      </c>
      <c r="AJ23" s="1240">
        <f t="shared" si="6"/>
        <v>268</v>
      </c>
      <c r="AK23" s="1240">
        <f t="shared" si="6"/>
        <v>2864</v>
      </c>
      <c r="AL23" s="1240">
        <f t="shared" si="6"/>
        <v>0</v>
      </c>
      <c r="AM23" s="1240">
        <f t="shared" si="6"/>
        <v>0</v>
      </c>
      <c r="AN23" s="1240">
        <f t="shared" si="6"/>
        <v>0</v>
      </c>
      <c r="AO23" s="1242">
        <f>IF(ISNUMBER(((NºAsuntos!I23/NºAsuntos!G23)*11)/factor_trimestre),((NºAsuntos!I23/NºAsuntos!G23)*11)/factor_trimestre," - ")</f>
        <v>5.0151433207139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1261</v>
      </c>
      <c r="G31" s="1117">
        <f t="shared" si="12"/>
        <v>1481</v>
      </c>
      <c r="H31" s="1118">
        <f t="shared" si="12"/>
        <v>0</v>
      </c>
      <c r="I31" s="1117">
        <f t="shared" si="12"/>
        <v>0</v>
      </c>
      <c r="J31" s="1119">
        <f t="shared" si="12"/>
        <v>0</v>
      </c>
      <c r="K31" s="1117">
        <f t="shared" si="12"/>
        <v>0</v>
      </c>
      <c r="L31" s="1120">
        <f t="shared" si="12"/>
        <v>0</v>
      </c>
      <c r="M31" s="1117">
        <f t="shared" si="12"/>
        <v>0</v>
      </c>
      <c r="N31" s="1118">
        <f t="shared" si="12"/>
        <v>867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3732</v>
      </c>
      <c r="Z31" s="1124">
        <f t="shared" si="13"/>
        <v>956</v>
      </c>
      <c r="AA31" s="1125">
        <f t="shared" si="13"/>
        <v>1729</v>
      </c>
      <c r="AB31" s="1125">
        <f t="shared" si="13"/>
        <v>0</v>
      </c>
      <c r="AC31" s="1125">
        <f t="shared" si="13"/>
        <v>0</v>
      </c>
      <c r="AD31" s="1126">
        <f t="shared" si="13"/>
        <v>0</v>
      </c>
      <c r="AE31" s="1126">
        <f t="shared" si="13"/>
        <v>3057</v>
      </c>
      <c r="AF31" s="1127">
        <f t="shared" si="13"/>
        <v>0</v>
      </c>
      <c r="AG31" s="1128">
        <f t="shared" si="13"/>
        <v>0</v>
      </c>
      <c r="AH31" s="1129">
        <f t="shared" si="13"/>
        <v>0</v>
      </c>
      <c r="AI31" s="1127">
        <f t="shared" si="13"/>
        <v>0</v>
      </c>
      <c r="AJ31" s="1117">
        <f t="shared" si="13"/>
        <v>756</v>
      </c>
      <c r="AK31" s="1117">
        <f t="shared" si="13"/>
        <v>3831</v>
      </c>
      <c r="AL31" s="1117">
        <f t="shared" si="13"/>
        <v>0</v>
      </c>
      <c r="AM31" s="1130">
        <f t="shared" si="13"/>
        <v>0</v>
      </c>
      <c r="AN31" s="1120">
        <f>IF(ISNUMBER(Datos!K31/Datos!J31),Datos!K31/Datos!J31," - ")</f>
        <v>0.84657883552911173</v>
      </c>
      <c r="AO31" s="1120">
        <f>IF(ISNUMBER(FIND("06",Criterios!A8,1)),(IF(ISNUMBER(((Datos!R31/Datos!Q31)*11)/factor_trimestre),((Datos!R31/Datos!Q31)*11)/factor_trimestre," - ")),(IF(ISNUMBER(((Datos!L31/Datos!K31)*11)/factor_trimestre),((Datos!L31/Datos!K31)*11)/factor_trimestre," - ")))</f>
        <v>7.6959504685408309</v>
      </c>
      <c r="AP31" s="1131" t="str">
        <f>IF(ISNUMBER(Datos!CI31/Datos!CJ31),Datos!CI31/Datos!CJ31," - ")</f>
        <v xml:space="preserve"> - </v>
      </c>
      <c r="AQ31" s="1131">
        <f>IF(OR(ISNUMBER(FIND("01",Criterios!A8,1)),ISNUMBER(FIND("02",Criterios!A8,1)),ISNUMBER(FIND("03",Criterios!A8,1)),ISNUMBER(FIND("04",Criterios!A8,1))),(J31-Y31+K31)/(F31-K31),(I31-Y31+K31)/(F31-K31))</f>
        <v>-2.9595559080095164</v>
      </c>
      <c r="AR31" s="1131">
        <f>IF(ISNUMBER((Datos!P31-Datos!Q31+O31)/(Datos!R31-Datos!P31+Datos!Q31-O31)),(Datos!P31-Datos!Q31+O31)/(Datos!R31-Datos!P31+Datos!Q31-O31)," - ")</f>
        <v>-2.8289891926255563E-2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625.78995411133496</v>
      </c>
      <c r="G33" s="674">
        <f>IF(ISNUMBER(STDEV(G8:G30)),STDEV(G8:G30),"-")</f>
        <v>642.25213859029657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212.19532780638019</v>
      </c>
      <c r="AK33" s="276"/>
      <c r="AL33" s="276">
        <f>IF(ISNUMBER(STDEV(AL8:AL30)),STDEV(AL8:AL30),"-")</f>
        <v>0</v>
      </c>
      <c r="AM33" s="278">
        <f>IF(ISNUMBER(STDEV(AM8:AM30)),STDEV(AM8:AM30),"-")</f>
        <v>0</v>
      </c>
      <c r="AN33" s="660">
        <f>IF(ISNUMBER(STDEV(AN8:AN30)),STDEV(AN8:AN30),"-")</f>
        <v>0</v>
      </c>
      <c r="AO33" s="661">
        <f>IF(ISNUMBER(STDEV(AO8:AO30)),STDEV(AO8:AO30),"-")</f>
        <v>4.5546284354846573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WdVAxMFI9HBErZ8uDmzHxXZtEpyijGYEP2CGI0c7B8MUEowFu/COovItnvgxNNdnHUuLM++69ZP5k17Bge4hw==" saltValue="8hVj1eHWV96uFLsgGAql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49CPZmFRgi4otNU2nD4Fcyo8wusdNiGiOR7Zo9/F5i8P7LYBvfVUP5f9kThWCWoORbmtfwr90IuH/lGeFFARA==" saltValue="gPBPGutcKmiHnwNzkNDL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psysCK5wcKjXcqAYxewpaeXb8LtCT1wYm1rkC9u442FWtvhtv1lOLrTapL9cj+XktNmmGf+/YJsVC55I+5WCQ==" saltValue="G11KM120gG49uDWfg8JJ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VALLS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prc+YM1+1ugq0jiMfIYsZQCjgl5dYimPQUNMAQOGO+BHSrq6teI1l8Zkndy/8mc5m/bOeN1SKLq2CzetGJBRw==" saltValue="LcrcHb9FpjkXdSzLY0KL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FvV5fi7QqYxJbKIhTLW+S3qUzXdjyKqJm/pJbkzBbkziwu+5BqCjBMRD+DYbsR54DN87SY+y0dhcooBCtPDCg==" saltValue="QV732p0Hcf63Dq8pG5pV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VALLS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44</v>
      </c>
      <c r="F10" s="452">
        <f>IF(ISNUMBER(E10/B10),E10/B10," - ")</f>
        <v>44</v>
      </c>
      <c r="G10" s="451">
        <f>IF(ISNUMBER(Datos!K10),Datos!K10," - ")</f>
        <v>34</v>
      </c>
      <c r="H10" s="452">
        <f>IF(ISNUMBER(G10/B10),G10/B10," - ")</f>
        <v>34</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1852</v>
      </c>
      <c r="D12" s="452">
        <f>IF(ISNUMBER(C12/Datos!BH12),C12/Datos!BH12," - ")</f>
        <v>617.33333333333337</v>
      </c>
      <c r="E12" s="451">
        <f>IF(ISNUMBER(IF(J_V="SI",Datos!J12,Datos!J12+Datos!Z12)),IF(J_V="SI",Datos!J12,Datos!J12+Datos!Z12)," - ")</f>
        <v>3330</v>
      </c>
      <c r="F12" s="452">
        <f>IF(ISNUMBER(E12/B12),E12/B12," - ")</f>
        <v>1110</v>
      </c>
      <c r="G12" s="451">
        <f>IF(ISNUMBER(IF(J_V="SI",Datos!K12,Datos!K12+Datos!AA12)),IF(J_V="SI",Datos!K12,Datos!K12+Datos!AA12)," - ")</f>
        <v>2406</v>
      </c>
      <c r="H12" s="452">
        <f>IF(ISNUMBER(G12/B12),G12/B12," - ")</f>
        <v>802</v>
      </c>
      <c r="I12" s="451">
        <f>IF(ISNUMBER(IF(J_V="SI",Datos!L12,Datos!L12+Datos!AB12)),IF(J_V="SI",Datos!L12,Datos!L12+Datos!AB12)," - ")</f>
        <v>2635</v>
      </c>
      <c r="J12" s="452">
        <f>IF(ISNUMBER(I12/B12),I12/B12," - ")</f>
        <v>878.33333333333337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1885</v>
      </c>
      <c r="D14" s="1147" t="str">
        <f>IF(ISNUMBER(C14/Datos!BI14),C14/Datos!BI14," - ")</f>
        <v xml:space="preserve"> - </v>
      </c>
      <c r="E14" s="1146">
        <f>SUBTOTAL(9,E8:E13)</f>
        <v>3374</v>
      </c>
      <c r="F14" s="1147">
        <f>IF(ISNUMBER(E14/B14),E14/B14," - ")</f>
        <v>1124.6666666666667</v>
      </c>
      <c r="G14" s="1146">
        <f>SUBTOTAL(9,G8:G13)</f>
        <v>2440</v>
      </c>
      <c r="H14" s="1147">
        <f>IF(ISNUMBER(G14/B14),G14/B14," - ")</f>
        <v>813.33333333333337</v>
      </c>
      <c r="I14" s="1146">
        <f>SUBTOTAL(9,I8:I13)</f>
        <v>2678</v>
      </c>
      <c r="J14" s="1147">
        <f>IF(ISNUMBER(I14/B14),I14/B14," - ")</f>
        <v>892.66666666666663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1263</v>
      </c>
      <c r="D17" s="452">
        <f>IF(ISNUMBER(C17/Datos!BH17),C17/Datos!BH17," - ")</f>
        <v>421</v>
      </c>
      <c r="E17" s="451">
        <f>IF(ISNUMBER(IF(D_I="SI",Datos!J17,Datos!J17+Datos!AD17)),IF(D_I="SI",Datos!J17,Datos!J17+Datos!AD17)," - ")</f>
        <v>3722</v>
      </c>
      <c r="F17" s="452">
        <f>IF(ISNUMBER(E17/B17),E17/B17," - ")</f>
        <v>1240.6666666666667</v>
      </c>
      <c r="G17" s="451">
        <f>IF(ISNUMBER(IF(D_I="SI",Datos!K17,Datos!K17+Datos!AE17)),IF(D_I="SI",Datos!K17,Datos!K17+Datos!AE17)," - ")</f>
        <v>3515</v>
      </c>
      <c r="H17" s="452">
        <f>IF(ISNUMBER(G17/B17),G17/B17," - ")</f>
        <v>1171.6666666666667</v>
      </c>
      <c r="I17" s="451">
        <f>IF(ISNUMBER(IF(D_I="SI",Datos!L17,Datos!L17+Datos!AF17)),IF(D_I="SI",Datos!L17,Datos!L17+Datos!AF17)," - ")</f>
        <v>1435</v>
      </c>
      <c r="J17" s="452">
        <f>IF(ISNUMBER(I17/B17),I17/B17," - ")</f>
        <v>478.33333333333331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185</v>
      </c>
      <c r="D18" s="452">
        <f>IF(ISNUMBER(C18/Datos!BH18),C18/Datos!BH18," - ")</f>
        <v>185</v>
      </c>
      <c r="E18" s="451">
        <f>IF(ISNUMBER(IF(D_I="SI",Datos!J18,Datos!J18+Datos!AD18)),IF(D_I="SI",Datos!J18,Datos!J18+Datos!AD18)," - ")</f>
        <v>249</v>
      </c>
      <c r="F18" s="452">
        <f>IF(ISNUMBER(E18/B18),E18/B18," - ")</f>
        <v>249</v>
      </c>
      <c r="G18" s="451">
        <f>IF(ISNUMBER(IF(D_I="SI",Datos!K18,Datos!K18+Datos!AE18)),IF(D_I="SI",Datos!K18,Datos!K18+Datos!AE18)," - ")</f>
        <v>183</v>
      </c>
      <c r="H18" s="452">
        <f>IF(ISNUMBER(G18/B18),G18/B18," - ")</f>
        <v>183</v>
      </c>
      <c r="I18" s="451">
        <f>IF(ISNUMBER(IF(D_I="SI",Datos!L18,Datos!L18+Datos!AF18)),IF(D_I="SI",Datos!L18,Datos!L18+Datos!AF18)," - ")</f>
        <v>251</v>
      </c>
      <c r="J18" s="452">
        <f>IF(ISNUMBER(I18/B18),I18/B18," - ")</f>
        <v>251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1448</v>
      </c>
      <c r="D23" s="1147" t="str">
        <f>IF(ISNUMBER(C23/Datos!BI23),C23/Datos!BI23," - ")</f>
        <v xml:space="preserve"> - </v>
      </c>
      <c r="E23" s="1146">
        <f>SUBTOTAL(9,E15:E22)</f>
        <v>3971</v>
      </c>
      <c r="F23" s="1147">
        <f>IF(ISNUMBER(E23/B23),E23/B23," - ")</f>
        <v>1323.6666666666667</v>
      </c>
      <c r="G23" s="1146">
        <f>SUBTOTAL(9,G15:G22)</f>
        <v>3698</v>
      </c>
      <c r="H23" s="1147">
        <f>IF(ISNUMBER(G23/B23),G23/B23," - ")</f>
        <v>1232.6666666666667</v>
      </c>
      <c r="I23" s="1146">
        <f>SUBTOTAL(9,I15:I22)</f>
        <v>1686</v>
      </c>
      <c r="J23" s="1147">
        <f>IF(ISNUMBER(I23/B23),I23/B23," - ")</f>
        <v>562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3333</v>
      </c>
      <c r="D31" s="1085" t="str">
        <f>IF(ISNUMBER(C31/Datos!BI31),C31/Datos!BI31," - ")</f>
        <v xml:space="preserve"> - </v>
      </c>
      <c r="E31" s="1084">
        <f>SUBTOTAL(9,E9:E30)</f>
        <v>7345</v>
      </c>
      <c r="F31" s="1085">
        <f>IF(ISNUMBER(E31/B31),E31/B31," - ")</f>
        <v>2448.3333333333335</v>
      </c>
      <c r="G31" s="1084">
        <f>SUBTOTAL(9,G9:G30)</f>
        <v>6138</v>
      </c>
      <c r="H31" s="1085">
        <f>IF(ISNUMBER(G31/B31),G31/B31," - ")</f>
        <v>2046</v>
      </c>
      <c r="I31" s="1084">
        <f>SUBTOTAL(9,I9:I30)</f>
        <v>4364</v>
      </c>
      <c r="J31" s="1085">
        <f>IF(ISNUMBER(I31/B31),I31/B31," - ")</f>
        <v>1454.6666666666667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pUjM0yYIdKu/At3oNUUPPFDmt08rw5xrCwhvG5JeEe1A51P+cKChXcdCpo9qEcfDoO496N3GhkteT3PIF31Cg==" saltValue="9sqEr9zZ6q+2nfY4ehl7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VALLS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13.911764705882351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475</v>
      </c>
      <c r="AM12" s="914">
        <f>IF(ISNUMBER(Datos!N12+DatosP!N17),Datos!N12+DatosP!N17," - ")</f>
        <v>954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12.046965918536991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-3.6964344128230291E-2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793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898</v>
      </c>
      <c r="AE14" s="1257">
        <f t="shared" si="1"/>
        <v>0</v>
      </c>
      <c r="AF14" s="1257">
        <f t="shared" si="1"/>
        <v>43</v>
      </c>
      <c r="AG14" s="1257">
        <f t="shared" si="1"/>
        <v>0</v>
      </c>
      <c r="AH14" s="1257">
        <f t="shared" si="1"/>
        <v>2944</v>
      </c>
      <c r="AI14" s="1257">
        <f t="shared" si="1"/>
        <v>0</v>
      </c>
      <c r="AJ14" s="1257">
        <f t="shared" si="1"/>
        <v>0</v>
      </c>
      <c r="AK14" s="1257">
        <f t="shared" si="1"/>
        <v>0</v>
      </c>
      <c r="AL14" s="1257">
        <f t="shared" si="1"/>
        <v>488</v>
      </c>
      <c r="AM14" s="1257">
        <f t="shared" si="1"/>
        <v>967</v>
      </c>
      <c r="AN14" s="1257">
        <f t="shared" si="1"/>
        <v>0</v>
      </c>
      <c r="AO14" s="1257">
        <f t="shared" si="1"/>
        <v>0</v>
      </c>
      <c r="AP14" s="1262">
        <f>IF(ISNUMBER(((Datos!L14/Datos!K14)*11)/factor_trimestre),((Datos!L14/Datos!K14)*11)/factor_trimestre," - ")</f>
        <v>12.047848990342406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-1.0303030303030303</v>
      </c>
      <c r="AU14" s="1257" t="str">
        <f>IF(ISNUMBER((DatosP!#REF!-DatosP!#REF!+DatosP!#REF!)/(DatosP!#REF!+DatosP!#REF!-DatosP!#REF!-DatosP!#REF!)),(DatosP!#REF!-DatosP!#REF!+DatosP!#REF!)/(DatosP!#REF!+DatosP!#REF!-DatosP!#REF!-DatosP!#REF!)," - ")</f>
        <v xml:space="preserve"> - </v>
      </c>
      <c r="AV14" s="1263">
        <f>SUBTOTAL(9,AV9:AV13)</f>
        <v>-3.6964344128230291E-2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5.0151433207139</v>
      </c>
      <c r="AQ23" s="1262">
        <f>IF(ISNUMBER(((Datos!M23/Datos!L23)*11)/factor_trimestre),((Datos!M23/Datos!L23)*11)/factor_trimestre," - ")</f>
        <v>1.7485172004744958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0.5714285714285714</v>
      </c>
      <c r="AW23" s="1265">
        <f>IF(ISNUMBER((Datos!Q23-Datos!R23)/(Datos!S23-Datos!Q23+Datos!R23)),(Datos!Q23-Datos!R23)/(Datos!S23-Datos!Q23+Datos!R23)," - ")</f>
        <v>-4.4011544011544008E-2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793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898</v>
      </c>
      <c r="AE31" s="1284">
        <f t="shared" si="9"/>
        <v>0</v>
      </c>
      <c r="AF31" s="1285">
        <f t="shared" si="9"/>
        <v>43</v>
      </c>
      <c r="AG31" s="1285">
        <f t="shared" si="9"/>
        <v>0</v>
      </c>
      <c r="AH31" s="1285">
        <f t="shared" si="9"/>
        <v>2944</v>
      </c>
      <c r="AI31" s="1285">
        <f t="shared" si="9"/>
        <v>0</v>
      </c>
      <c r="AJ31" s="1286">
        <f t="shared" si="9"/>
        <v>0</v>
      </c>
      <c r="AK31" s="1286">
        <f t="shared" si="9"/>
        <v>0</v>
      </c>
      <c r="AL31" s="1278">
        <f t="shared" si="9"/>
        <v>488</v>
      </c>
      <c r="AM31" s="1278">
        <f t="shared" si="9"/>
        <v>967</v>
      </c>
      <c r="AN31" s="1278">
        <f t="shared" si="9"/>
        <v>0</v>
      </c>
      <c r="AO31" s="1278">
        <f t="shared" si="9"/>
        <v>0</v>
      </c>
      <c r="AP31" s="1278">
        <f>IF(ISNUMBER(((Datos!L31/Datos!K31)*11)/factor_trimestre),((Datos!L31/Datos!K31)*11)/factor_trimestre," - ")</f>
        <v>7.6959504685408309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-1.0303030303030303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-2.8289891926255563E-2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247.05276089666893</v>
      </c>
      <c r="AM33" s="1006"/>
      <c r="AN33" s="1006">
        <f>IF(ISNUMBER(STDEV(AN8:AN30)),STDEV(AN8:AN30),"-")</f>
        <v>0</v>
      </c>
      <c r="AO33" s="1012">
        <f>IF(ISNUMBER(STDEV(AO8:AO30)),STDEV(AO8:AO30),"-")</f>
        <v>0</v>
      </c>
      <c r="AP33" s="1065">
        <f>IF(ISNUMBER(STDEV(AP8:AP30)),STDEV(AP8:AP30),"-")</f>
        <v>3.9264806893456763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c0AUCe0IiLvAd4QapVt5fzMaqv/LB/5IWiNtcW8VlnpQZokddyFrWx52Vcpr42p+DC0OG0/0Opea3NnU8Sp7A==" saltValue="B6YcTK7de8VPZUtVfS2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VALLS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uld0HrIKpsLpeewRaGi8/Jfa7I7kDeQoYreGo8jlYwTigPtctWUipgdPzT9T12eyEYnzf3OxJrP0ZsnxZU2wQ==" saltValue="eTce5+Rdy62PCowtIju5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VALLS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13</v>
      </c>
      <c r="G10" s="452">
        <f>IF(ISNUMBER(F10/B10),F10/B10," - ")</f>
        <v>13</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475</v>
      </c>
      <c r="E12" s="452">
        <f t="shared" si="0"/>
        <v>158.33333333333334</v>
      </c>
      <c r="F12" s="451">
        <f>IF(ISNUMBER(Datos!N12),Datos!N12," - ")</f>
        <v>954</v>
      </c>
      <c r="G12" s="452">
        <f t="shared" si="1"/>
        <v>318</v>
      </c>
      <c r="H12" s="451">
        <f>IF(ISNUMBER(Datos!O12),Datos!O12," - ")</f>
        <v>1020</v>
      </c>
      <c r="I12" s="452">
        <f t="shared" si="2"/>
        <v>340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488</v>
      </c>
      <c r="E14" s="1147">
        <f t="shared" si="0"/>
        <v>122</v>
      </c>
      <c r="F14" s="1146">
        <f>SUBTOTAL(9,F9:F13)</f>
        <v>967</v>
      </c>
      <c r="G14" s="1147">
        <f t="shared" si="1"/>
        <v>241.75</v>
      </c>
      <c r="H14" s="1146">
        <f>SUBTOTAL(9,H9:H13)</f>
        <v>1026</v>
      </c>
      <c r="I14" s="1147">
        <f>IF(ISNUMBER(H14/B14),H14/B14," - ")</f>
        <v>256.5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255</v>
      </c>
      <c r="E17" s="452">
        <f t="shared" si="3"/>
        <v>85</v>
      </c>
      <c r="F17" s="451">
        <f>IF(ISNUMBER(Datos!N17),Datos!N17," - ")</f>
        <v>2737</v>
      </c>
      <c r="G17" s="452">
        <f t="shared" si="4"/>
        <v>912.33333333333337</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127</v>
      </c>
      <c r="G18" s="452">
        <f>IF(ISNUMBER(F18/B18),F18/B18," - ")</f>
        <v>127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268</v>
      </c>
      <c r="E23" s="1147">
        <f t="shared" si="3"/>
        <v>67</v>
      </c>
      <c r="F23" s="1146">
        <f>SUBTOTAL(9,F16:F22)</f>
        <v>2864</v>
      </c>
      <c r="G23" s="1147">
        <f t="shared" si="4"/>
        <v>716</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756</v>
      </c>
      <c r="E31" s="1085">
        <f>IF(ISNUMBER(D31/B31),D31/B31," - ")</f>
        <v>252</v>
      </c>
      <c r="F31" s="1084">
        <f>SUBTOTAL(9,F8:F30)</f>
        <v>3831</v>
      </c>
      <c r="G31" s="1085">
        <f>IF(ISNUMBER(F31/B31),F31/B31," - ")</f>
        <v>1277</v>
      </c>
      <c r="H31" s="1084">
        <f>SUBTOTAL(9,H8:H30)</f>
        <v>1029</v>
      </c>
      <c r="I31" s="1085">
        <f>IF(ISNUMBER(H31/B31),H31/B31," - ")</f>
        <v>343</v>
      </c>
    </row>
    <row r="34" spans="1:1">
      <c r="A34" s="439" t="str">
        <f>Criterios!A4</f>
        <v>Fecha Informe: 14 abr. 2023</v>
      </c>
    </row>
    <row r="39" spans="1:1">
      <c r="A39" s="462"/>
    </row>
  </sheetData>
  <sheetProtection algorithmName="SHA-512" hashValue="+qVcA8rcblE6I6HXJFn3ls0Anxzoamd41FOi0JajWdTcbvPTvU2ZO9fyYx7hN9DuycIuibPHD98J6RtUCy45nQ==" saltValue="l7Ic6cm6MCl0AKxONLXj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VALLS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20</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785</v>
      </c>
      <c r="C12" s="489">
        <f>IF(ISNUMBER(Datos!Q12),Datos!Q12," - ")</f>
        <v>898</v>
      </c>
      <c r="D12" s="456">
        <f>IF(ISNUMBER(Datos!R12),Datos!R12," - ")</f>
        <v>2944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793</v>
      </c>
      <c r="C14" s="1150">
        <f>SUBTOTAL(9,C9:C13)</f>
        <v>918</v>
      </c>
      <c r="D14" s="1148">
        <f>SUBTOTAL(9,D9:D13)</f>
        <v>2958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37</v>
      </c>
      <c r="D17" s="456">
        <f>IF(ISNUMBER(Datos!R17),Datos!R17," - ")</f>
        <v>99</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38</v>
      </c>
      <c r="D23" s="1148">
        <f>SUBTOTAL(9,D16:D22)</f>
        <v>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867</v>
      </c>
      <c r="C31" s="1089">
        <f>SUBTOTAL(9,C8:C30)</f>
        <v>956</v>
      </c>
      <c r="D31" s="1090">
        <f>SUBTOTAL(9,D8:D30)</f>
        <v>3057</v>
      </c>
    </row>
    <row r="32" spans="1:4" ht="7.5" customHeight="1"/>
    <row r="33" spans="1:1" ht="6" customHeight="1"/>
    <row r="34" spans="1:1">
      <c r="A34" s="439" t="str">
        <f>Criterios!A4</f>
        <v>Fecha Informe: 14 abr. 2023</v>
      </c>
    </row>
    <row r="39" spans="1:1">
      <c r="A39" s="462"/>
    </row>
  </sheetData>
  <sheetProtection algorithmName="SHA-512" hashValue="047tf4QfSmSowkzhHM6EOYWJceHULdJwLwD1nnhkaXli0YpNbuI1tF91txfvjnnCwoQsy48/h0nL0vtwx7S8Cw==" saltValue="9AQu7qBs7jg8lscPPoN3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VALLS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0.17857142857142858</v>
      </c>
      <c r="C10" s="515">
        <f>IF(ISNUMBER((Datos!J10-Datos!T10)/Datos!T10),(Datos!J10-Datos!T10)/Datos!T10," - ")</f>
        <v>0.69230769230769229</v>
      </c>
      <c r="D10" s="515">
        <f>IF(ISNUMBER((Datos!K10-Datos!U10)/Datos!U10),(Datos!K10-Datos!U10)/Datos!U10," - ")</f>
        <v>0.61904761904761907</v>
      </c>
      <c r="E10" s="515">
        <f>IF(ISNUMBER((Datos!L10-Datos!V10)/Datos!V10),(Datos!L10-Datos!V10)/Datos!V10," - ")</f>
        <v>0.30303030303030304</v>
      </c>
      <c r="F10" s="515">
        <f>IF(ISNUMBER((Datos!M10-Datos!W10)/Datos!W10),(Datos!M10-Datos!W10)/Datos!W10," - ")</f>
        <v>0.44444444444444442</v>
      </c>
      <c r="G10" s="516">
        <f>IF(ISNUMBER((Datos!N10-Datos!X10)/Datos!X10),(Datos!N10-Datos!X10)/Datos!X10," - ")</f>
        <v>0.8571428571428571</v>
      </c>
      <c r="H10" s="514">
        <f>IF(ISNUMBER(((NºAsuntos!G10/NºAsuntos!E10)-Datos!BD10)/Datos!BD10),((NºAsuntos!G10/NºAsuntos!E10)-Datos!BD10)/Datos!BD10," - ")</f>
        <v>-4.3290043290043337E-2</v>
      </c>
      <c r="I10" s="515">
        <f>IF(ISNUMBER(((NºAsuntos!I10/NºAsuntos!G10)-Datos!BE10)/Datos!BE10),((NºAsuntos!I10/NºAsuntos!G10)-Datos!BE10)/Datos!BE10," - ")</f>
        <v>-0.1951871657754011</v>
      </c>
      <c r="J10" s="521">
        <f>IF(ISNUMBER((('Resol  Asuntos'!D10/NºAsuntos!G10)-Datos!BF10)/Datos!BF10),(('Resol  Asuntos'!D10/NºAsuntos!G10)-Datos!BF10)/Datos!BF10," - ")</f>
        <v>-0.10784313725490197</v>
      </c>
      <c r="K10" s="522">
        <f>IF(ISNUMBER((((NºAsuntos!C10+NºAsuntos!E10)/NºAsuntos!G10)-Datos!BG10)/Datos!BG10),(((NºAsuntos!C10+NºAsuntos!E10)/NºAsuntos!G10)-Datos!BG10)/Datos!BG10," - ")</f>
        <v>-0.11928104575163408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1.3683634373289545E-2</v>
      </c>
      <c r="C12" s="515">
        <f>IF(ISNUMBER(
   IF(J_V="SI",(Datos!J12-Datos!T12)/Datos!T12,(Datos!J12+Datos!Z12-(Datos!T12+Datos!AH12))/(Datos!T12+Datos!AH12))
     ),IF(J_V="SI",(Datos!J12-Datos!T12)/Datos!T12,(Datos!J12+Datos!Z12-(Datos!T12+Datos!AH12))/(Datos!T12+Datos!AH12))," - ")</f>
        <v>0.41281289775137886</v>
      </c>
      <c r="D12" s="515">
        <f>IF(ISNUMBER(
   IF(J_V="SI",(Datos!K12-Datos!U12)/Datos!U12,(Datos!K12+Datos!AA12-(Datos!U12+Datos!AI12))/(Datos!U12+Datos!AI12))
     ),IF(J_V="SI",(Datos!K12-Datos!U12)/Datos!U12,(Datos!K12+Datos!AA12-(Datos!U12+Datos!AI12))/(Datos!U12+Datos!AI12))," - ")</f>
        <v>3.1732418524871353E-2</v>
      </c>
      <c r="E12" s="515">
        <f>IF(ISNUMBER(
   IF(J_V="SI",(Datos!L12-Datos!V12)/Datos!V12,(Datos!L12+Datos!AB12-(Datos!V12+Datos!AJ12))/(Datos!V12+Datos!AJ12))
     ),IF(J_V="SI",(Datos!L12-Datos!V12)/Datos!V12,(Datos!L12+Datos!AB12-(Datos!V12+Datos!AJ12))/(Datos!V12+Datos!AJ12))," - ")</f>
        <v>0.42278617710583155</v>
      </c>
      <c r="F12" s="515">
        <f>IF(ISNUMBER((Datos!M12-Datos!W12)/Datos!W12),(Datos!M12-Datos!W12)/Datos!W12," - ")</f>
        <v>-0.13321167883211679</v>
      </c>
      <c r="G12" s="516">
        <f>IF(ISNUMBER((Datos!N12-Datos!X12)/Datos!X12),(Datos!N12-Datos!X12)/Datos!X12," - ")</f>
        <v>4.148471615720524E-2</v>
      </c>
      <c r="H12" s="514">
        <f>IF(ISNUMBER(((NºAsuntos!G12/NºAsuntos!E12)-Datos!BD12)/Datos!BD12),((NºAsuntos!G12/NºAsuntos!E12)-Datos!BD12)/Datos!BD12," - ")</f>
        <v>-0.26973173859966321</v>
      </c>
      <c r="I12" s="515">
        <f>IF(ISNUMBER(((NºAsuntos!I12/NºAsuntos!G12)-Datos!BE12)/Datos!BE12),((NºAsuntos!I12/NºAsuntos!G12)-Datos!BE12)/Datos!BE12," - ")</f>
        <v>0.37902633624721493</v>
      </c>
      <c r="J12" s="521">
        <f>IF(ISNUMBER((('Resol  Asuntos'!D12/NºAsuntos!G12)-Datos!BF12)/Datos!BF12),(('Resol  Asuntos'!D12/NºAsuntos!G12)-Datos!BF12)/Datos!BF12," - ")</f>
        <v>-0.49739007648273786</v>
      </c>
      <c r="K12" s="522">
        <f>IF(ISNUMBER((((NºAsuntos!C12+NºAsuntos!E12)/NºAsuntos!G12)-Datos!BG12)/Datos!BG12),(((NºAsuntos!C12+NºAsuntos!E12)/NºAsuntos!G12)-Datos!BG12)/Datos!BG12," - ")</f>
        <v>0.20043501825423685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1.6172506738544475E-2</v>
      </c>
      <c r="C14" s="1152">
        <f>IF(ISNUMBER(
   IF(J_V="SI",(Datos!J14-Datos!T14)/Datos!T14,(Datos!J14+Datos!Z14-(Datos!T14+Datos!AH14))/(Datos!T14+Datos!AH14))
     ),IF(J_V="SI",(Datos!J14-Datos!T14)/Datos!T14,(Datos!J14+Datos!Z14-(Datos!T14+Datos!AH14))/(Datos!T14+Datos!AH14))," - ")</f>
        <v>0.41586235837180024</v>
      </c>
      <c r="D14" s="1152">
        <f>IF(ISNUMBER(
   IF(J_V="SI",(Datos!K14-Datos!U14)/Datos!U14,(Datos!K14+Datos!AA14-(Datos!U14+Datos!AI14))/(Datos!U14+Datos!AI14))
     ),IF(J_V="SI",(Datos!K14-Datos!U14)/Datos!U14,(Datos!K14+Datos!AA14-(Datos!U14+Datos!AI14))/(Datos!U14+Datos!AI14))," - ")</f>
        <v>3.6974075648108798E-2</v>
      </c>
      <c r="E14" s="1152">
        <f>IF(ISNUMBER(
   IF(J_V="SI",(Datos!L14-Datos!V14)/Datos!V14,(Datos!L14+Datos!AB14-(Datos!V14+Datos!AJ14))/(Datos!V14+Datos!AJ14))
     ),IF(J_V="SI",(Datos!L14-Datos!V14)/Datos!V14,(Datos!L14+Datos!AB14-(Datos!V14+Datos!AJ14))/(Datos!V14+Datos!AJ14))," - ")</f>
        <v>0.4206896551724138</v>
      </c>
      <c r="F14" s="1153">
        <f>IF(ISNUMBER((Datos!M14-Datos!W14)/Datos!W14),(Datos!M14-Datos!W14)/Datos!W14," - ")</f>
        <v>-0.12387791741472172</v>
      </c>
      <c r="G14" s="1154">
        <f>IF(ISNUMBER((Datos!N14-Datos!X14)/Datos!X14),(Datos!N14-Datos!X14)/Datos!X14," - ")</f>
        <v>4.7670639219934995E-2</v>
      </c>
      <c r="H14" s="1154">
        <f>IF(ISNUMBER(((NºAsuntos!G14/NºAsuntos!E14)-Datos!BD14)/Datos!BD14),((NºAsuntos!G14/NºAsuntos!E14)-Datos!BD14)/Datos!BD14," - ")</f>
        <v>-0.26760248302624684</v>
      </c>
      <c r="I14" s="1154">
        <f>IF(ISNUMBER(((NºAsuntos!I14/NºAsuntos!G14)-Datos!BE14)/Datos!BE14),((NºAsuntos!I14/NºAsuntos!G14)-Datos!BE14)/Datos!BE14," - ")</f>
        <v>0.3700339174674957</v>
      </c>
      <c r="J14" s="1154">
        <f>IF(ISNUMBER((('Resol  Asuntos'!D14/NºAsuntos!G14)-Datos!BF14)/Datos!BF14),(('Resol  Asuntos'!D14/NºAsuntos!G14)-Datos!BF14)/Datos!BF14," - ")</f>
        <v>-0.4912432432432432</v>
      </c>
      <c r="K14" s="1154">
        <f>IF(ISNUMBER((((NºAsuntos!C14+NºAsuntos!E14)/NºAsuntos!G14)-Datos!BG14)/Datos!BG14),(((NºAsuntos!C14+NºAsuntos!E14)/NºAsuntos!G14)-Datos!BG14)/Datos!BG14," - ")</f>
        <v>0.19666976767575178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5.9563758389261742E-2</v>
      </c>
      <c r="C17" s="515">
        <f>IF(ISNUMBER(
   IF(D_I="SI",(Datos!J17-Datos!T17)/Datos!T17,(Datos!J17+Datos!AD17-(Datos!T17+Datos!AL17))/(Datos!T17+Datos!AL17))
     ),IF(D_I="SI",(Datos!J17-Datos!T17)/Datos!T17,(Datos!J17+Datos!AD17-(Datos!T17+Datos!AL17))/(Datos!T17+Datos!AL17))," - ")</f>
        <v>0.18008877615726063</v>
      </c>
      <c r="D17" s="515">
        <f>IF(ISNUMBER(
   IF(D_I="SI",(Datos!K17-Datos!U17)/Datos!U17,(Datos!K17+Datos!AE17-(Datos!U17+Datos!AM17))/(Datos!U17+Datos!AM17))
     ),IF(D_I="SI",(Datos!K17-Datos!U17)/Datos!U17,(Datos!K17+Datos!AE17-(Datos!U17+Datos!AM17))/(Datos!U17+Datos!AM17))," - ")</f>
        <v>0.14012325656827765</v>
      </c>
      <c r="E17" s="515">
        <f>IF(ISNUMBER(
   IF(D_I="SI",(Datos!L17-Datos!V17)/Datos!V17,(Datos!L17+Datos!AF17-(Datos!V17+Datos!AN17))/(Datos!V17+Datos!AN17))
     ),IF(D_I="SI",(Datos!L17-Datos!V17)/Datos!V17,(Datos!L17+Datos!AF17-(Datos!V17+Datos!AN17))/(Datos!V17+Datos!AN17))," - ")</f>
        <v>0.13618368962787014</v>
      </c>
      <c r="F17" s="515">
        <f>IF(ISNUMBER((Datos!M17-Datos!W17)/Datos!W17),(Datos!M17-Datos!W17)/Datos!W17," - ")</f>
        <v>-0.25872093023255816</v>
      </c>
      <c r="G17" s="516">
        <f>IF(ISNUMBER((Datos!N17-Datos!X17)/Datos!X17),(Datos!N17-Datos!X17)/Datos!X17," - ")</f>
        <v>0.26537216828478966</v>
      </c>
      <c r="H17" s="514">
        <f>IF(ISNUMBER(((NºAsuntos!G17/NºAsuntos!E17)-Datos!BD17)/Datos!BD17),((NºAsuntos!G17/NºAsuntos!E17)-Datos!BD17)/Datos!BD17," - ")</f>
        <v>-3.3866536481368198E-2</v>
      </c>
      <c r="I17" s="515">
        <f>IF(ISNUMBER(((NºAsuntos!I17/NºAsuntos!G17)-Datos!BE17)/Datos!BE17),((NºAsuntos!I17/NºAsuntos!G17)-Datos!BE17)/Datos!BE17," - ")</f>
        <v>-3.4553868783148275E-3</v>
      </c>
      <c r="J17" s="521">
        <f>IF(ISNUMBER((('Resol  Asuntos'!D17/NºAsuntos!G17)-Datos!BF17)/Datos!BF17),(('Resol  Asuntos'!D17/NºAsuntos!G17)-Datos!BF17)/Datos!BF17," - ")</f>
        <v>-0.34982549869330781</v>
      </c>
      <c r="K17" s="522">
        <f>IF(ISNUMBER((((NºAsuntos!C17+NºAsuntos!E17)/NºAsuntos!G17)-Datos!BG17)/Datos!BG17),(((NºAsuntos!C17+NºAsuntos!E17)/NºAsuntos!G17)-Datos!BG17)/Datos!BG17," - ")</f>
        <v>6.0594297400072454E-3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0.39097744360902253</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-7.1065989847715741E-2</v>
      </c>
      <c r="E18" s="515">
        <f>IF(ISNUMBER(
   IF(D_I="SI",(Datos!L18-Datos!V18)/Datos!V18,(Datos!L18+Datos!AF18-(Datos!V18+Datos!AN18))/(Datos!V18+Datos!AN18))
     ),IF(D_I="SI",(Datos!L18-Datos!V18)/Datos!V18,(Datos!L18+Datos!AF18-(Datos!V18+Datos!AN18))/(Datos!V18+Datos!AN18))," - ")</f>
        <v>0.35675675675675678</v>
      </c>
      <c r="F18" s="515">
        <f>IF(ISNUMBER((Datos!M18-Datos!W18)/Datos!W18),(Datos!M18-Datos!W18)/Datos!W18," - ")</f>
        <v>-0.27777777777777779</v>
      </c>
      <c r="G18" s="516">
        <f>IF(ISNUMBER((Datos!N18-Datos!X18)/Datos!X18),(Datos!N18-Datos!X18)/Datos!X18," - ")</f>
        <v>-0.15894039735099338</v>
      </c>
      <c r="H18" s="514">
        <f>IF(ISNUMBER(((NºAsuntos!G18/NºAsuntos!E18)-Datos!BD18)/Datos!BD18),((NºAsuntos!G18/NºAsuntos!E18)-Datos!BD18)/Datos!BD18," - ")</f>
        <v>-7.1065989847715644E-2</v>
      </c>
      <c r="I18" s="515">
        <f>IF(ISNUMBER(((NºAsuntos!I18/NºAsuntos!G18)-Datos!BE18)/Datos!BE18),((NºAsuntos!I18/NºAsuntos!G18)-Datos!BE18)/Datos!BE18," - ")</f>
        <v>0.46055235563432273</v>
      </c>
      <c r="J18" s="521">
        <f>IF(ISNUMBER((('Resol  Asuntos'!D18/NºAsuntos!G18)-Datos!BF18)/Datos!BF18),(('Resol  Asuntos'!D18/NºAsuntos!G18)-Datos!BF18)/Datos!BF18," - ")</f>
        <v>-0.22252580449301762</v>
      </c>
      <c r="K18" s="522">
        <f>IF(ISNUMBER((((NºAsuntos!C18+NºAsuntos!E18)/NºAsuntos!G18)-Datos!BG18)/Datos!BG18),(((NºAsuntos!C18+NºAsuntos!E18)/NºAsuntos!G18)-Datos!BG18)/Datos!BG18," - ")</f>
        <v>0.22304237118416154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9.2830188679245279E-2</v>
      </c>
      <c r="C23" s="1152">
        <f>IF(ISNUMBER(
   IF(Criterios!B14="SI",(Datos!J23-Datos!T23)/Datos!T23,(Datos!J23+Datos!AD23-(Datos!T23+Datos!AL23))/(Datos!T23+Datos!AL23))
     ),IF(Criterios!B14="SI",(Datos!J23-Datos!T23)/Datos!T23,(Datos!J23+Datos!AD23-(Datos!T23+Datos!AL23))/(Datos!T23+Datos!AL23))," - ")</f>
        <v>0.16691154863355862</v>
      </c>
      <c r="D23" s="1152">
        <f>IF(ISNUMBER(
   IF(Criterios!B14="SI",(Datos!K23-Datos!U23)/Datos!U23,(Datos!K23+Datos!AE23-(Datos!U23+Datos!AM23))/(Datos!U23+Datos!AM23))
     ),IF(Criterios!B14="SI",(Datos!K23-Datos!U23)/Datos!U23,(Datos!K23+Datos!AE23-(Datos!U23+Datos!AM23))/(Datos!U23+Datos!AM23))," - ")</f>
        <v>0.1274390243902439</v>
      </c>
      <c r="E23" s="1152">
        <f>IF(ISNUMBER(
   IF(Criterios!B14="SI",(Datos!L23-Datos!V23)/Datos!V23,(Datos!L23+Datos!AF23-(Datos!V23+Datos!AN23))/(Datos!V23+Datos!AN23))
     ),IF(Criterios!B14="SI",(Datos!L23-Datos!V23)/Datos!V23,(Datos!L23+Datos!AF23-(Datos!V23+Datos!AN23))/(Datos!V23+Datos!AN23))," - ")</f>
        <v>0.1643646408839779</v>
      </c>
      <c r="F23" s="1153">
        <f>IF(ISNUMBER((Datos!M23-Datos!W23)/Datos!W23),(Datos!M23-Datos!W23)/Datos!W23," - ")</f>
        <v>-0.25966850828729282</v>
      </c>
      <c r="G23" s="1154">
        <f>IF(ISNUMBER((Datos!N23-Datos!X23)/Datos!X23),(Datos!N23-Datos!X23)/Datos!X23," - ")</f>
        <v>0.23768366464995677</v>
      </c>
      <c r="H23" s="1154">
        <f>IF(ISNUMBER(((NºAsuntos!G23/NºAsuntos!E23)-Datos!BD23)/Datos!BD23),((NºAsuntos!G23/NºAsuntos!E23)-Datos!BD23)/Datos!BD23," - ")</f>
        <v>-3.3826492067489312E-2</v>
      </c>
      <c r="I23" s="1154">
        <f>IF(ISNUMBER(((NºAsuntos!I23/NºAsuntos!G23)-Datos!BE23)/Datos!BE23),((NºAsuntos!I23/NºAsuntos!G23)-Datos!BE23)/Datos!BE23," - ")</f>
        <v>3.2751763682922555E-2</v>
      </c>
      <c r="J23" s="1154">
        <f>IF(ISNUMBER((('Resol  Asuntos'!D23/NºAsuntos!G23)-Datos!BF23)/Datos!BF23),(('Resol  Asuntos'!D23/NºAsuntos!G23)-Datos!BF23)/Datos!BF23," - ")</f>
        <v>-0.34335119177455936</v>
      </c>
      <c r="K23" s="1154">
        <f>IF(ISNUMBER((((NºAsuntos!C23+NºAsuntos!E23)/NºAsuntos!G23)-Datos!BG23)/Datos!BG23),(((NºAsuntos!C23+NºAsuntos!E23)/NºAsuntos!G23)-Datos!BG23)/Datos!BG23," - ")</f>
        <v>1.6596523112598478E-2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4.8113207547169815E-2</v>
      </c>
      <c r="C31" s="1092">
        <f>IF(ISNUMBER(
   IF(J_V="SI",(Datos!J31-Datos!T31)/Datos!T31,(Datos!J31+Datos!Z31-(Datos!T31+Datos!AH31))/(Datos!T31+Datos!AH31))
     ),IF(J_V="SI",(Datos!J31-Datos!T31)/Datos!T31,(Datos!J31+Datos!Z31-(Datos!T31+Datos!AH31))/(Datos!T31+Datos!AH31))," - ")</f>
        <v>0.26944348427238163</v>
      </c>
      <c r="D31" s="1092">
        <f>IF(ISNUMBER(
   IF(J_V="SI",(Datos!K31-Datos!U31)/Datos!U31,(Datos!K31+Datos!AA31-(Datos!U31+Datos!AI31))/(Datos!U31+Datos!AI31))
     ),IF(J_V="SI",(Datos!K31-Datos!U31)/Datos!U31,(Datos!K31+Datos!AA31-(Datos!U31+Datos!AI31))/(Datos!U31+Datos!AI31))," - ")</f>
        <v>8.9650275164210896E-2</v>
      </c>
      <c r="E31" s="1092">
        <f>IF(ISNUMBER(
   IF(J_V="SI",(Datos!L31-Datos!V31)/Datos!V31,(Datos!L31+Datos!AB31-(Datos!V31+Datos!AJ31))/(Datos!V31+Datos!AJ31))
     ),IF(J_V="SI",(Datos!L31-Datos!V31)/Datos!V31,(Datos!L31+Datos!AB31-(Datos!V31+Datos!AJ31))/(Datos!V31+Datos!AJ31))," - ")</f>
        <v>0.30933093309330933</v>
      </c>
      <c r="F31" s="1093">
        <f>IF(ISNUMBER((Datos!M31-Datos!W31)/Datos!W31),(Datos!M31-Datos!W31)/Datos!W31," - ")</f>
        <v>-0.17736670293797607</v>
      </c>
      <c r="G31" s="1094">
        <f>IF(ISNUMBER((Datos!N31-Datos!X31)/Datos!X31),(Datos!N31-Datos!X31)/Datos!X31," - ")</f>
        <v>0.18350324374420759</v>
      </c>
      <c r="H31" s="1095">
        <f>IF(ISNUMBER((Tasas!B31-Datos!BD31)/Datos!BD31),(Tasas!B31-Datos!BD31)/Datos!BD31," - ")</f>
        <v>-0.14163151911502725</v>
      </c>
      <c r="I31" s="1096">
        <f>IF(ISNUMBER((Tasas!C31-Datos!BE31)/Datos!BE31),(Tasas!C31-Datos!BE31)/Datos!BE31," - ")</f>
        <v>0.2016065731695359</v>
      </c>
      <c r="J31" s="1097">
        <f>IF(ISNUMBER((Tasas!D31-Datos!BF31)/Datos!BF31),(Tasas!D31-Datos!BF31)/Datos!BF31," - ")</f>
        <v>-0.46091640519793009</v>
      </c>
      <c r="K31" s="1097">
        <f>IF(ISNUMBER((Tasas!E31-Datos!BG31)/Datos!BG31),(Tasas!E31-Datos!BG31)/Datos!BG31," - ")</f>
        <v>9.2959449212102627E-2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56u7Glric9+A08uaaMzcGdqeNQZu565WfxL2RJvMt1Qi1+2586GL5Pfs16E/ab1SFmqODhJbYVr7SmiLbX8yg==" saltValue="Edk8NhAsh72bZ9wJHkh0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VALLS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0.77272727272727271</v>
      </c>
      <c r="C10" s="498">
        <f>IF(ISNUMBER(NºAsuntos!I10/NºAsuntos!G10),NºAsuntos!I10/NºAsuntos!G10," - ")</f>
        <v>1.2647058823529411</v>
      </c>
      <c r="D10" s="499">
        <f>IF(ISNUMBER('Resol  Asuntos'!D10/NºAsuntos!G10),'Resol  Asuntos'!D10/NºAsuntos!G10," - ")</f>
        <v>0.38235294117647056</v>
      </c>
      <c r="E10" s="500">
        <f>IF(ISNUMBER((NºAsuntos!C10+NºAsuntos!E10)/NºAsuntos!G10),(NºAsuntos!C10+NºAsuntos!E10)/NºAsuntos!G10," - ")</f>
        <v>2.2647058823529411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0.72252252252252247</v>
      </c>
      <c r="C12" s="498">
        <f>IF(ISNUMBER(NºAsuntos!I12/NºAsuntos!G12),NºAsuntos!I12/NºAsuntos!G12," - ")</f>
        <v>1.0951787198669991</v>
      </c>
      <c r="D12" s="499">
        <f>IF(ISNUMBER('Resol  Asuntos'!D12/NºAsuntos!G12),'Resol  Asuntos'!D12/NºAsuntos!G12," - ")</f>
        <v>0.1974231088944306</v>
      </c>
      <c r="E12" s="500">
        <f>IF(ISNUMBER((NºAsuntos!C12+NºAsuntos!E12)/NºAsuntos!G12),(NºAsuntos!C12+NºAsuntos!E12)/NºAsuntos!G12," - ")</f>
        <v>2.1537822111388194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0.72317723770005926</v>
      </c>
      <c r="C14" s="1156">
        <f>IF(ISNUMBER(NºAsuntos!I14/NºAsuntos!G14),NºAsuntos!I14/NºAsuntos!G14," - ")</f>
        <v>1.0975409836065573</v>
      </c>
      <c r="D14" s="1157">
        <f>IF(ISNUMBER('Resol  Asuntos'!D14/NºAsuntos!G14),'Resol  Asuntos'!D14/NºAsuntos!G14," - ")</f>
        <v>0.2</v>
      </c>
      <c r="E14" s="1158">
        <f>IF(ISNUMBER((NºAsuntos!C14+NºAsuntos!E14)/NºAsuntos!G14),(NºAsuntos!C14+NºAsuntos!E14)/NºAsuntos!G14," - ")</f>
        <v>2.1553278688524591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0.94438473938742606</v>
      </c>
      <c r="C17" s="498">
        <f>IF(ISNUMBER(NºAsuntos!I17/NºAsuntos!G17),NºAsuntos!I17/NºAsuntos!G17," - ")</f>
        <v>0.40825035561877665</v>
      </c>
      <c r="D17" s="499">
        <f>IF(ISNUMBER('Resol  Asuntos'!D17/NºAsuntos!G17),'Resol  Asuntos'!D17/NºAsuntos!G17," - ")</f>
        <v>7.254623044096728E-2</v>
      </c>
      <c r="E17" s="500">
        <f>IF(ISNUMBER((NºAsuntos!C17+NºAsuntos!E17)/NºAsuntos!G17),(NºAsuntos!C17+NºAsuntos!E17)/NºAsuntos!G17," - ")</f>
        <v>1.4182076813655762</v>
      </c>
      <c r="G17" s="523"/>
    </row>
    <row r="18" spans="1:7">
      <c r="A18" s="450" t="str">
        <f>Datos!A18</f>
        <v>Jdos. Violencia contra la mujer</v>
      </c>
      <c r="B18" s="497">
        <f>IF(ISNUMBER(NºAsuntos!G18/NºAsuntos!E18),NºAsuntos!G18/NºAsuntos!E18," - ")</f>
        <v>0.73493975903614461</v>
      </c>
      <c r="C18" s="498">
        <f>IF(ISNUMBER(NºAsuntos!I18/NºAsuntos!G18),NºAsuntos!I18/NºAsuntos!G18," - ")</f>
        <v>1.3715846994535519</v>
      </c>
      <c r="D18" s="499">
        <f>IF(ISNUMBER('Resol  Asuntos'!D18/NºAsuntos!G18),'Resol  Asuntos'!D18/NºAsuntos!G18," - ")</f>
        <v>7.1038251366120214E-2</v>
      </c>
      <c r="E18" s="500">
        <f>IF(ISNUMBER((NºAsuntos!C18+NºAsuntos!E18)/NºAsuntos!G18),(NºAsuntos!C18+NºAsuntos!E18)/NºAsuntos!G18," - ")</f>
        <v>2.3715846994535519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0.93125157391085367</v>
      </c>
      <c r="C23" s="1156">
        <f>IF(ISNUMBER(NºAsuntos!I23/NºAsuntos!G23),NºAsuntos!I23/NºAsuntos!G23," - ")</f>
        <v>0.45592212006489996</v>
      </c>
      <c r="D23" s="1159">
        <f>IF(ISNUMBER('Resol  Asuntos'!D23/NºAsuntos!G23),'Resol  Asuntos'!D23/NºAsuntos!G23," - ")</f>
        <v>7.2471606273661435E-2</v>
      </c>
      <c r="E23" s="1158">
        <f>IF(ISNUMBER((NºAsuntos!C23+NºAsuntos!E23)/NºAsuntos!G23),(NºAsuntos!C23+NºAsuntos!E23)/NºAsuntos!G23," - ")</f>
        <v>1.465386695511087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0.83567052416609944</v>
      </c>
      <c r="C31" s="1099">
        <f>IF(ISNUMBER(NºAsuntos!I31/NºAsuntos!G31),NºAsuntos!I31/NºAsuntos!G31," - ")</f>
        <v>0.71098077549690453</v>
      </c>
      <c r="D31" s="1100">
        <f>IF(ISNUMBER('Resol  Asuntos'!D31/NºAsuntos!G31),'Resol  Asuntos'!D31/NºAsuntos!G31," - ")</f>
        <v>0.12316715542521994</v>
      </c>
      <c r="E31" s="1101">
        <f>IF(ISNUMBER((NºAsuntos!C31+NºAsuntos!E31)/NºAsuntos!G31),(NºAsuntos!C31+NºAsuntos!E31)/NºAsuntos!G31," - ")</f>
        <v>1.7396546106223525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WKV+6klff5LV8Bu/i60js+lRP8WQFdkNc9rkNRbge0Pm4WLWi1QgpWyCh7uM9QQobJnxbvo6cJ5stN8xJZs+A==" saltValue="Aqgc4+K4Z1cQlySSA5ci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VALLS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20</v>
      </c>
      <c r="Y10" s="374">
        <f t="shared" ref="Y10:Y13" si="0">SUM(W10:X10)</f>
        <v>54</v>
      </c>
      <c r="Z10" s="375" t="str">
        <f>IF(ISNUMBER(Datos!CC10),Datos!CC10," - ")</f>
        <v xml:space="preserve"> - </v>
      </c>
      <c r="AA10" s="372">
        <f>IF(ISNUMBER(Datos!L10),Datos!L10,"-")</f>
        <v>43</v>
      </c>
      <c r="AB10" s="374">
        <f>IF(ISNUMBER(Datos!R10),Datos!R10," - ")</f>
        <v>14</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0.77272727272727271</v>
      </c>
      <c r="AM10" s="284">
        <f>IF(ISNUMBER(((NºAsuntos!I10/NºAsuntos!G10)*11)/factor_trimestre),((NºAsuntos!I10/NºAsuntos!G10)*11)/factor_trimestre," - ")</f>
        <v>13.911764705882351</v>
      </c>
      <c r="AN10" s="267">
        <f>IF(ISNUMBER('Resol  Asuntos'!D10/NºAsuntos!G10),'Resol  Asuntos'!D10/NºAsuntos!G10," - ")</f>
        <v>0.38235294117647056</v>
      </c>
      <c r="AO10" s="268">
        <f>IF(ISNUMBER((NºAsuntos!C10+NºAsuntos!E10)/NºAsuntos!G10),(NºAsuntos!C10+NºAsuntos!E10)/NºAsuntos!G10," - ")</f>
        <v>2.2647058823529411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898</v>
      </c>
      <c r="Y12" s="374">
        <f t="shared" si="0"/>
        <v>898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475</v>
      </c>
      <c r="AJ12" s="243" t="str">
        <f>IF(ISNUMBER(Datos!BW12),Datos!BW12," - ")</f>
        <v xml:space="preserve"> - </v>
      </c>
      <c r="AK12" s="242" t="str">
        <f>IF(ISNUMBER(Datos!BX12),Datos!BX12," - ")</f>
        <v xml:space="preserve"> - </v>
      </c>
      <c r="AL12" s="266">
        <f>IF(ISNUMBER(NºAsuntos!G12/NºAsuntos!E12),NºAsuntos!G12/NºAsuntos!E12," - ")</f>
        <v>0.72252252252252247</v>
      </c>
      <c r="AM12" s="284">
        <f>IF(ISNUMBER(((NºAsuntos!I12/NºAsuntos!G12)*11)/factor_trimestre),((NºAsuntos!I12/NºAsuntos!G12)*11)/factor_trimestre," - ")</f>
        <v>12.046965918536991</v>
      </c>
      <c r="AN12" s="267">
        <f>IF(ISNUMBER('Resol  Asuntos'!D12/NºAsuntos!G12),'Resol  Asuntos'!D12/NºAsuntos!G12," - ")</f>
        <v>0.1974231088944306</v>
      </c>
      <c r="AO12" s="268">
        <f>IF(ISNUMBER((NºAsuntos!C12+NºAsuntos!E12)/NºAsuntos!G12),(NºAsuntos!C12+NºAsuntos!E12)/NºAsuntos!G12," - ")</f>
        <v>2.1537822111388194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33</v>
      </c>
      <c r="G14" s="1163">
        <f t="shared" si="5"/>
        <v>33</v>
      </c>
      <c r="H14" s="1162">
        <f t="shared" si="5"/>
        <v>0</v>
      </c>
      <c r="I14" s="1164">
        <f t="shared" si="5"/>
        <v>0</v>
      </c>
      <c r="J14" s="1164">
        <f t="shared" si="5"/>
        <v>0</v>
      </c>
      <c r="K14" s="1164">
        <f t="shared" si="5"/>
        <v>0</v>
      </c>
      <c r="L14" s="1164">
        <f t="shared" si="5"/>
        <v>793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918</v>
      </c>
      <c r="Y14" s="1165">
        <f t="shared" si="6"/>
        <v>952</v>
      </c>
      <c r="Z14" s="1165">
        <f t="shared" si="6"/>
        <v>0</v>
      </c>
      <c r="AA14" s="1165">
        <f t="shared" si="6"/>
        <v>43</v>
      </c>
      <c r="AB14" s="1165">
        <f t="shared" si="6"/>
        <v>2958</v>
      </c>
      <c r="AC14" s="1165">
        <f t="shared" si="6"/>
        <v>57</v>
      </c>
      <c r="AD14" s="1165">
        <f t="shared" si="6"/>
        <v>0</v>
      </c>
      <c r="AE14" s="1169">
        <f t="shared" si="6"/>
        <v>0</v>
      </c>
      <c r="AF14" s="1162">
        <f t="shared" si="6"/>
        <v>0</v>
      </c>
      <c r="AG14" s="1170">
        <f t="shared" si="6"/>
        <v>0</v>
      </c>
      <c r="AH14" s="1167">
        <f t="shared" si="6"/>
        <v>0</v>
      </c>
      <c r="AI14" s="1162">
        <f t="shared" si="6"/>
        <v>488</v>
      </c>
      <c r="AJ14" s="1164">
        <f t="shared" si="6"/>
        <v>0</v>
      </c>
      <c r="AK14" s="1167">
        <f>SUBTOTAL(9,AK9:AK13)</f>
        <v>0</v>
      </c>
      <c r="AL14" s="1171">
        <f>IF(ISNUMBER(NºAsuntos!G14/NºAsuntos!E14),NºAsuntos!G14/NºAsuntos!E14," - ")</f>
        <v>0.72317723770005926</v>
      </c>
      <c r="AM14" s="1171">
        <f>IF(ISNUMBER(((NºAsuntos!I14/NºAsuntos!G14)*11)/factor_trimestre),((NºAsuntos!I14/NºAsuntos!G14)*11)/factor_trimestre," - ")</f>
        <v>12.07295081967213</v>
      </c>
      <c r="AN14" s="1172">
        <f>IF(ISNUMBER('Resol  Asuntos'!D14/NºAsuntos!G14),'Resol  Asuntos'!D14/NºAsuntos!G14," - ")</f>
        <v>0.2</v>
      </c>
      <c r="AO14" s="1173">
        <f>IF(ISNUMBER((NºAsuntos!C14+NºAsuntos!E14)/NºAsuntos!G14),(NºAsuntos!C14+NºAsuntos!E14)/NºAsuntos!G14," - ")</f>
        <v>2.1553278688524591</v>
      </c>
      <c r="AP14" s="1174" t="str">
        <f t="shared" si="2"/>
        <v xml:space="preserve"> - </v>
      </c>
      <c r="AQ14" s="1174">
        <f>IF(ISNUMBER((H14-W14+K14)/(F14)),(H14-W14+K14)/(F14)," - ")</f>
        <v>-1.0303030303030303</v>
      </c>
      <c r="AR14" s="1175">
        <f>IF(ISNUMBER((Datos!P14-Datos!Q14)/(Datos!R14-Datos!P14+Datos!Q14)),(Datos!P14-Datos!Q14)/(Datos!R14-Datos!P14+Datos!Q14)," - ")</f>
        <v>-4.05449237755433E-2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1228</v>
      </c>
      <c r="G17" s="373">
        <f>IF(ISNUMBER(IF(D_I="SI",Datos!I17,Datos!I17+Datos!AC17)),IF(D_I="SI",Datos!I17,Datos!I17+Datos!AC17)," - ")</f>
        <v>1263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3515</v>
      </c>
      <c r="X17" s="240">
        <f>IF(ISNUMBER(Datos!Q17),Datos!Q17," - ")</f>
        <v>37</v>
      </c>
      <c r="Y17" s="374">
        <f t="shared" ref="Y17:Y22" si="9">SUM(W17:X17)</f>
        <v>3552</v>
      </c>
      <c r="Z17" s="375" t="str">
        <f>IF(ISNUMBER(Datos!CC17),Datos!CC17," - ")</f>
        <v xml:space="preserve"> - </v>
      </c>
      <c r="AA17" s="372">
        <f>IF(ISNUMBER(IF(D_I="SI",Datos!L17,Datos!L17+Datos!AF17)),IF(D_I="SI",Datos!L17,Datos!L17+Datos!AF17)," - ")</f>
        <v>1435</v>
      </c>
      <c r="AB17" s="374">
        <f>IF(ISNUMBER(Datos!R17),Datos!R17," - ")</f>
        <v>99</v>
      </c>
      <c r="AC17" s="374">
        <f t="shared" si="8"/>
        <v>1534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255</v>
      </c>
      <c r="AJ17" s="245" t="str">
        <f>IF(ISNUMBER(Datos!BW17),Datos!BW17," - ")</f>
        <v xml:space="preserve"> - </v>
      </c>
      <c r="AK17" s="246" t="str">
        <f>IF(ISNUMBER(Datos!BX17),Datos!BX17," - ")</f>
        <v xml:space="preserve"> - </v>
      </c>
      <c r="AL17" s="266">
        <f>IF(ISNUMBER(NºAsuntos!G17/NºAsuntos!E17),NºAsuntos!G17/NºAsuntos!E17," - ")</f>
        <v>0.94438473938742606</v>
      </c>
      <c r="AM17" s="284">
        <f>IF(ISNUMBER(((NºAsuntos!I17/NºAsuntos!G17)*11)/factor_trimestre),((NºAsuntos!I17/NºAsuntos!G17)*11)/factor_trimestre," - ")</f>
        <v>4.4907539118065429</v>
      </c>
      <c r="AN17" s="267">
        <f>IF(ISNUMBER('Resol  Asuntos'!D17/NºAsuntos!G17),'Resol  Asuntos'!D17/NºAsuntos!G17," - ")</f>
        <v>7.254623044096728E-2</v>
      </c>
      <c r="AO17" s="268">
        <f>IF(ISNUMBER((NºAsuntos!C17+NºAsuntos!E17)/NºAsuntos!G17),(NºAsuntos!C17+NºAsuntos!E17)/NºAsuntos!G17," - ")</f>
        <v>1.4182076813655762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183</v>
      </c>
      <c r="X18" s="240">
        <f>IF(ISNUMBER(Datos!Q18),Datos!Q18," - ")</f>
        <v>1</v>
      </c>
      <c r="Y18" s="374">
        <f t="shared" si="9"/>
        <v>184</v>
      </c>
      <c r="Z18" s="375" t="str">
        <f>IF(ISNUMBER(Datos!CC18),Datos!CC18," - ")</f>
        <v xml:space="preserve"> - </v>
      </c>
      <c r="AA18" s="372">
        <f>IF(ISNUMBER(Datos!L18),Datos!L18,"-")</f>
        <v>251</v>
      </c>
      <c r="AB18" s="374">
        <f>IF(ISNUMBER(Datos!R18),Datos!R18," - ")</f>
        <v>0</v>
      </c>
      <c r="AC18" s="374">
        <f t="shared" si="8"/>
        <v>251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0.73493975903614461</v>
      </c>
      <c r="AM18" s="284">
        <f>IF(ISNUMBER(((NºAsuntos!I18/NºAsuntos!G18)*11)/factor_trimestre),((NºAsuntos!I18/NºAsuntos!G18)*11)/factor_trimestre," - ")</f>
        <v>15.087431693989071</v>
      </c>
      <c r="AN18" s="267">
        <f>IF(ISNUMBER('Resol  Asuntos'!D18/NºAsuntos!G18),'Resol  Asuntos'!D18/NºAsuntos!G18," - ")</f>
        <v>7.1038251366120214E-2</v>
      </c>
      <c r="AO18" s="268">
        <f>IF(ISNUMBER((NºAsuntos!C18+NºAsuntos!E18)/NºAsuntos!G18),(NºAsuntos!C18+NºAsuntos!E18)/NºAsuntos!G18," - ")</f>
        <v>2.3715846994535519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1228</v>
      </c>
      <c r="G23" s="1163">
        <f>SUBTOTAL(9,G16:G22)</f>
        <v>1448</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3698</v>
      </c>
      <c r="X23" s="1164">
        <f t="shared" si="14"/>
        <v>38</v>
      </c>
      <c r="Y23" s="1165">
        <f t="shared" si="14"/>
        <v>3736</v>
      </c>
      <c r="Z23" s="1165">
        <f t="shared" si="14"/>
        <v>0</v>
      </c>
      <c r="AA23" s="1165">
        <f t="shared" si="14"/>
        <v>1686</v>
      </c>
      <c r="AB23" s="1165">
        <f t="shared" si="14"/>
        <v>99</v>
      </c>
      <c r="AC23" s="1165">
        <f t="shared" si="14"/>
        <v>1785</v>
      </c>
      <c r="AD23" s="1165">
        <f t="shared" si="14"/>
        <v>0</v>
      </c>
      <c r="AE23" s="1169">
        <f t="shared" si="14"/>
        <v>0</v>
      </c>
      <c r="AF23" s="1162">
        <f t="shared" si="14"/>
        <v>0</v>
      </c>
      <c r="AG23" s="1170">
        <f t="shared" si="14"/>
        <v>0</v>
      </c>
      <c r="AH23" s="1167">
        <f t="shared" si="14"/>
        <v>0</v>
      </c>
      <c r="AI23" s="1162">
        <f t="shared" si="14"/>
        <v>268</v>
      </c>
      <c r="AJ23" s="1164">
        <f t="shared" si="14"/>
        <v>0</v>
      </c>
      <c r="AK23" s="1167">
        <f t="shared" si="14"/>
        <v>0</v>
      </c>
      <c r="AL23" s="1171">
        <f>IF(ISNUMBER(NºAsuntos!G23/NºAsuntos!E23),NºAsuntos!G23/NºAsuntos!E23," - ")</f>
        <v>0.93125157391085367</v>
      </c>
      <c r="AM23" s="1171">
        <f>IF(ISNUMBER(((NºAsuntos!I23/NºAsuntos!G23)*11)/factor_trimestre),((NºAsuntos!I23/NºAsuntos!G23)*11)/factor_trimestre," - ")</f>
        <v>5.0151433207139</v>
      </c>
      <c r="AN23" s="1172">
        <f>IF(ISNUMBER('Resol  Asuntos'!D23/NºAsuntos!G23),'Resol  Asuntos'!D23/NºAsuntos!G23," - ")</f>
        <v>7.2471606273661435E-2</v>
      </c>
      <c r="AO23" s="1173">
        <f>IF(ISNUMBER((NºAsuntos!C23+NºAsuntos!E23)/NºAsuntos!G23),(NºAsuntos!C23+NºAsuntos!E23)/NºAsuntos!G23," - ")</f>
        <v>1.465386695511087</v>
      </c>
      <c r="AP23" s="1174" t="str">
        <f t="shared" si="2"/>
        <v xml:space="preserve"> - </v>
      </c>
      <c r="AQ23" s="1174">
        <f>IF(ISNUMBER((H23-W23+K23)/(F23)),(H23-W23+K23)/(F23)," - ")</f>
        <v>-3.0114006514657978</v>
      </c>
      <c r="AR23" s="1175">
        <f>IF(ISNUMBER((Datos!P23-Datos!Q23)/(Datos!R23-Datos!P23+Datos!Q23)),(Datos!P23-Datos!Q23)/(Datos!R23-Datos!P23+Datos!Q23)," - ")</f>
        <v>0.5714285714285714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1261</v>
      </c>
      <c r="G31" s="1118">
        <f t="shared" si="20"/>
        <v>1481</v>
      </c>
      <c r="H31" s="1117">
        <f t="shared" si="20"/>
        <v>0</v>
      </c>
      <c r="I31" s="1119">
        <f t="shared" si="20"/>
        <v>0</v>
      </c>
      <c r="J31" s="1119">
        <f t="shared" si="20"/>
        <v>0</v>
      </c>
      <c r="K31" s="1180">
        <f t="shared" si="20"/>
        <v>0</v>
      </c>
      <c r="L31" s="1119">
        <f t="shared" si="20"/>
        <v>867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3732</v>
      </c>
      <c r="X31" s="1118">
        <f t="shared" si="21"/>
        <v>956</v>
      </c>
      <c r="Y31" s="1125">
        <f t="shared" si="21"/>
        <v>4688</v>
      </c>
      <c r="Z31" s="1125">
        <f t="shared" si="21"/>
        <v>0</v>
      </c>
      <c r="AA31" s="1125">
        <f t="shared" si="21"/>
        <v>1729</v>
      </c>
      <c r="AB31" s="1125">
        <f t="shared" si="21"/>
        <v>3057</v>
      </c>
      <c r="AC31" s="1125">
        <f t="shared" si="21"/>
        <v>1842</v>
      </c>
      <c r="AD31" s="1125">
        <f t="shared" si="21"/>
        <v>0</v>
      </c>
      <c r="AE31" s="1127">
        <f t="shared" si="21"/>
        <v>0</v>
      </c>
      <c r="AF31" s="1128">
        <f t="shared" si="21"/>
        <v>0</v>
      </c>
      <c r="AG31" s="1129">
        <f t="shared" si="21"/>
        <v>0</v>
      </c>
      <c r="AH31" s="1127">
        <f t="shared" si="21"/>
        <v>0</v>
      </c>
      <c r="AI31" s="1117">
        <f t="shared" si="21"/>
        <v>756</v>
      </c>
      <c r="AJ31" s="1117">
        <f t="shared" si="21"/>
        <v>0</v>
      </c>
      <c r="AK31" s="1127">
        <f t="shared" si="21"/>
        <v>0</v>
      </c>
      <c r="AL31" s="1183">
        <f>IF(ISNUMBER(NºAsuntos!G31/NºAsuntos!E31),NºAsuntos!G31/NºAsuntos!E31," - ")</f>
        <v>0.83567052416609944</v>
      </c>
      <c r="AM31" s="1184">
        <f>IF(ISNUMBER(((NºAsuntos!I31/NºAsuntos!G31)*11)/factor_trimestre),((NºAsuntos!I31/NºAsuntos!G31)*11)/factor_trimestre," - ")</f>
        <v>7.8207885304659497</v>
      </c>
      <c r="AN31" s="1184">
        <f>IF(ISNUMBER('Resol  Asuntos'!D31/NºAsuntos!G31),'Resol  Asuntos'!D31/NºAsuntos!G31," - ")</f>
        <v>0.12316715542521994</v>
      </c>
      <c r="AO31" s="1185">
        <f>IF(ISNUMBER((NºAsuntos!C31+NºAsuntos!E31)/NºAsuntos!G31),(NºAsuntos!C31+NºAsuntos!E31)/NºAsuntos!G31," - ")</f>
        <v>1.7396546106223525</v>
      </c>
      <c r="AP31" s="1186" t="str">
        <f t="shared" si="2"/>
        <v xml:space="preserve"> - </v>
      </c>
      <c r="AQ31" s="1187">
        <f>IF(OR(ISNUMBER(FIND("01",Criterios!A8,1)),ISNUMBER(FIND("02",Criterios!A8,1)),ISNUMBER(FIND("03",Criterios!A8,1)),ISNUMBER(FIND("04",Criterios!A8,1))),(I31-W31+K31)/(F31-K31),(H31-W31+K31)/(F31-K31))</f>
        <v>-2.9595559080095164</v>
      </c>
      <c r="AR31" s="1188">
        <f>IF(ISNUMBER((Datos!P31-Datos!Q31)/(Datos!R31-Datos!P31+Datos!Q31)),(Datos!P31-Datos!Q31)/(Datos!R31-Datos!P31+Datos!Q31)," - ")</f>
        <v>-2.8289891926255563E-2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625.78995411133496</v>
      </c>
      <c r="G33" s="277">
        <f>IF(ISNUMBER(STDEV(G8:G30)),STDEV(G8:G30),"-")</f>
        <v>642.25213859029657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1737.2139298587374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212.19532780638019</v>
      </c>
      <c r="AJ33" s="276">
        <f t="shared" si="25"/>
        <v>0</v>
      </c>
      <c r="AK33" s="278">
        <f t="shared" si="25"/>
        <v>0</v>
      </c>
      <c r="AL33" s="273">
        <f t="shared" si="25"/>
        <v>0.10470421659786394</v>
      </c>
      <c r="AM33" s="274">
        <f t="shared" si="25"/>
        <v>4.5546284354846573</v>
      </c>
      <c r="AN33" s="274">
        <f t="shared" si="25"/>
        <v>0.12284209654142171</v>
      </c>
      <c r="AO33" s="275">
        <f t="shared" si="25"/>
        <v>0.41841128399796718</v>
      </c>
      <c r="AP33" s="317" t="str">
        <f t="shared" si="25"/>
        <v>-</v>
      </c>
      <c r="AQ33" s="318">
        <f t="shared" si="25"/>
        <v>1.4008475621167309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YthJKRHpSbMwbvQ3nCal3eds5QzzjzUoT5ggfdOTW6VirRLF5Te/2fk+PHI1UpG+R3FE9i9gMo+BPLUfrzg9Q==" saltValue="oKfC1xuhh9Zvl+dgP27Z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VALLS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0.17857142857142858</v>
      </c>
      <c r="E10" s="393">
        <f>IF(ISNUMBER((Datos!J10-Datos!T10)/Datos!T10),(Datos!J10-Datos!T10)/Datos!T10," - ")</f>
        <v>0.69230769230769229</v>
      </c>
      <c r="F10" s="393">
        <f>IF(ISNUMBER((Datos!K10-Datos!U10)/Datos!U10),(Datos!K10-Datos!U10)/Datos!U10," - ")</f>
        <v>0.61904761904761907</v>
      </c>
      <c r="G10" s="394">
        <f>IF(ISNUMBER((Datos!L10-Datos!V10)/Datos!V10),(Datos!L10-Datos!V10)/Datos!V10," - ")</f>
        <v>0.30303030303030304</v>
      </c>
      <c r="H10" s="244">
        <f>IF(ISNUMBER((Datos!M10-Datos!W10)/Datos!W10),(Datos!M10-Datos!W10)/Datos!W10," - ")</f>
        <v>0.44444444444444442</v>
      </c>
      <c r="I10" s="395">
        <f>IF(ISNUMBER((Tasas!C10-Datos!BE10)/Datos!BE10),(Tasas!C10-Datos!BE10)/Datos!BE10," - ")</f>
        <v>-0.1951871657754011</v>
      </c>
      <c r="J10" s="394">
        <f>IF(ISNUMBER((Tasas!D10-Datos!BF10)/Datos!BF10),(Tasas!D10-Datos!BF10)/Datos!BF10," - ")</f>
        <v>-0.10784313725490197</v>
      </c>
      <c r="K10" s="396">
        <f>IF(ISNUMBER((Tasas!E10-Datos!BG10)/Datos!BG10),(Tasas!E10-Datos!BG10)/Datos!BG10," - ")</f>
        <v>-0.11928104575163408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-0.13321167883211679</v>
      </c>
      <c r="I12" s="395">
        <f>IF(ISNUMBER((Tasas!C12-Datos!BE12)/Datos!BE12),(Tasas!C12-Datos!BE12)/Datos!BE12," - ")</f>
        <v>0.37902633624721493</v>
      </c>
      <c r="J12" s="394">
        <f>IF(ISNUMBER((Tasas!D12-Datos!BF12)/Datos!BF12),(Tasas!D12-Datos!BF12)/Datos!BF12," - ")</f>
        <v>-0.49739007648273786</v>
      </c>
      <c r="K12" s="396">
        <f>IF(ISNUMBER((Tasas!E12-Datos!BG12)/Datos!BG12),(Tasas!E12-Datos!BG12)/Datos!BG12," - ")</f>
        <v>0.20043501825423685</v>
      </c>
      <c r="M12" t="e">
        <f>IF(Monitorios="SI",Datos!CE12,0)</f>
        <v>#REF!</v>
      </c>
      <c r="N12" t="e">
        <f>IF(Monitorios="SI",Datos!CF12,0)</f>
        <v>#REF!</v>
      </c>
      <c r="O12" t="e">
        <f>IF(Monitorios="SI",Datos!CG12,0)</f>
        <v>#REF!</v>
      </c>
      <c r="P12" t="e">
        <f>IF(Monitorios="SI",Datos!CH12,0)</f>
        <v>#REF!</v>
      </c>
      <c r="Q12">
        <f>IF(J_V="SI",0,Datos!AG12)</f>
        <v>91</v>
      </c>
      <c r="R12">
        <f>IF(J_V="SI",0,Datos!AH12)</f>
        <v>117</v>
      </c>
      <c r="S12">
        <f>IF(J_V="SI",0,Datos!AI12)</f>
        <v>139</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-0.12387791741472172</v>
      </c>
      <c r="I14" s="402">
        <f>IF(ISNUMBER((Tasas!C14-Datos!BE14)/Datos!BE14),(Tasas!C14-Datos!BE14)/Datos!BE14," - ")</f>
        <v>0.3700339174674957</v>
      </c>
      <c r="J14" s="400">
        <f>IF(ISNUMBER((Tasas!D14-Datos!BF14)/Datos!BF14),(Tasas!D14-Datos!BF14)/Datos!BF14," - ")</f>
        <v>-0.4912432432432432</v>
      </c>
      <c r="K14" s="403">
        <f>IF(ISNUMBER((Tasas!E14-Datos!BG14)/Datos!BG14),(Tasas!E14-Datos!BG14)/Datos!BG14," - ")</f>
        <v>0.19666976767575178</v>
      </c>
      <c r="M14" t="e">
        <f>IF(Monitorios="SI",Datos!CE14,0)</f>
        <v>#REF!</v>
      </c>
      <c r="N14" t="e">
        <f>IF(Monitorios="SI",Datos!CF14,0)</f>
        <v>#REF!</v>
      </c>
      <c r="O14" t="e">
        <f>IF(Monitorios="SI",Datos!CG14,0)</f>
        <v>#REF!</v>
      </c>
      <c r="P14" t="e">
        <f>IF(Monitorios="SI",Datos!CH14,0)</f>
        <v>#REF!</v>
      </c>
      <c r="Q14">
        <f>IF(J_V="SI",0,Datos!AG14)</f>
        <v>91</v>
      </c>
      <c r="R14">
        <f>IF(J_V="SI",0,Datos!AH14)</f>
        <v>117</v>
      </c>
      <c r="S14">
        <f>IF(J_V="SI",0,Datos!AI14)</f>
        <v>139</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5.9563758389261742E-2</v>
      </c>
      <c r="E17" s="393">
        <f>IF(ISNUMBER(
   IF(D_I="SI",(Datos!J17-Datos!T17)/Datos!T17,(Datos!J17+Datos!AD17-(Datos!T17+Datos!AL17))/(Datos!T17+Datos!AL17))
     ),IF(D_I="SI",(Datos!J17-Datos!T17)/Datos!T17,(Datos!J17+Datos!AD17-(Datos!T17+Datos!AL17))/(Datos!T17+Datos!AL17))," - ")</f>
        <v>0.18008877615726063</v>
      </c>
      <c r="F17" s="393">
        <f>IF(ISNUMBER(
   IF(D_I="SI",(Datos!K17-Datos!U17)/Datos!U17,(Datos!K17+Datos!AE17-(Datos!U17+Datos!AM17))/(Datos!U17+Datos!AM17))
     ),IF(D_I="SI",(Datos!K17-Datos!U17)/Datos!U17,(Datos!K17+Datos!AE17-(Datos!U17+Datos!AM17))/(Datos!U17+Datos!AM17))," - ")</f>
        <v>0.14012325656827765</v>
      </c>
      <c r="G17" s="394">
        <f>IF(ISNUMBER(
   IF(D_I="SI",(Datos!L17-Datos!V17)/Datos!V17,(Datos!L17+Datos!AF17-(Datos!V17+Datos!AN17))/(Datos!V17+Datos!AN17))
     ),IF(D_I="SI",(Datos!L17-Datos!V17)/Datos!V17,(Datos!L17+Datos!AF17-(Datos!V17+Datos!AN17))/(Datos!V17+Datos!AN17))," - ")</f>
        <v>0.13618368962787014</v>
      </c>
      <c r="H17" s="244">
        <f>IF(ISNUMBER((Datos!M17-Datos!W17)/Datos!W17),(Datos!M17-Datos!W17)/Datos!W17," - ")</f>
        <v>-0.25872093023255816</v>
      </c>
      <c r="I17" s="395">
        <f>IF(ISNUMBER((Tasas!C17-Datos!BE17)/Datos!BE17),(Tasas!C17-Datos!BE17)/Datos!BE17," - ")</f>
        <v>-3.4553868783148275E-3</v>
      </c>
      <c r="J17" s="394">
        <f>IF(ISNUMBER((Tasas!D17-Datos!BF17)/Datos!BF17),(Tasas!D17-Datos!BF17)/Datos!BF17," - ")</f>
        <v>-0.34982549869330781</v>
      </c>
      <c r="K17" s="396">
        <f>IF(ISNUMBER((Tasas!E17-Datos!BG17)/Datos!BG17),(Tasas!E17-Datos!BG17)/Datos!BG17," - ")</f>
        <v>6.0594297400072454E-3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0.39097744360902253</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-7.1065989847715741E-2</v>
      </c>
      <c r="G18" s="394">
        <f>IF(ISNUMBER(
   IF(D_I="SI",(Datos!L18-Datos!V18)/Datos!V18,(Datos!L18+Datos!AF18-(Datos!V18+Datos!AN18))/(Datos!V18+Datos!AN18))
     ),IF(D_I="SI",(Datos!L18-Datos!V18)/Datos!V18,(Datos!L18+Datos!AF18-(Datos!V18+Datos!AN18))/(Datos!V18+Datos!AN18))," - ")</f>
        <v>0.35675675675675678</v>
      </c>
      <c r="H18" s="244">
        <f>IF(ISNUMBER((Datos!M18-Datos!W18)/Datos!W18),(Datos!M18-Datos!W18)/Datos!W18," - ")</f>
        <v>-0.27777777777777779</v>
      </c>
      <c r="I18" s="395">
        <f>IF(ISNUMBER((Tasas!C18-Datos!BE18)/Datos!BE18),(Tasas!C18-Datos!BE18)/Datos!BE18," - ")</f>
        <v>0.46055235563432273</v>
      </c>
      <c r="J18" s="394">
        <f>IF(ISNUMBER((Tasas!D18-Datos!BF18)/Datos!BF18),(Tasas!D18-Datos!BF18)/Datos!BF18," - ")</f>
        <v>-0.22252580449301762</v>
      </c>
      <c r="K18" s="396">
        <f>IF(ISNUMBER((Tasas!E18-Datos!BG18)/Datos!BG18),(Tasas!E18-Datos!BG18)/Datos!BG18," - ")</f>
        <v>0.22304237118416154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9.2830188679245279E-2</v>
      </c>
      <c r="E23" s="399">
        <f>IF(ISNUMBER(
   IF(D_I="SI",(Datos!J23-Datos!T23)/Datos!T23,(Datos!J23+Datos!AD23-(Datos!T23+Datos!AL23))/(Datos!T23+Datos!AL23))
     ),IF(D_I="SI",(Datos!J23-Datos!T23)/Datos!T23,(Datos!J23+Datos!AD23-(Datos!T23+Datos!AL23))/(Datos!T23+Datos!AL23))," - ")</f>
        <v>0.16691154863355862</v>
      </c>
      <c r="F23" s="399">
        <f>IF(ISNUMBER(
   IF(D_I="SI",(Datos!K23-Datos!U23)/Datos!U23,(Datos!K23+Datos!AE23-(Datos!U23+Datos!AM23))/(Datos!U23+Datos!AM23))
     ),IF(D_I="SI",(Datos!K23-Datos!U23)/Datos!U23,(Datos!K23+Datos!AE23-(Datos!U23+Datos!AM23))/(Datos!U23+Datos!AM23))," - ")</f>
        <v>0.1274390243902439</v>
      </c>
      <c r="G23" s="400">
        <f>IF(ISNUMBER(
   IF(D_I="SI",(Datos!L23-Datos!V23)/Datos!V23,(Datos!L23+Datos!AF23-(Datos!V23+Datos!AN23))/(Datos!V23+Datos!AN23))
     ),IF(D_I="SI",(Datos!L23-Datos!V23)/Datos!V23,(Datos!L23+Datos!AF23-(Datos!V23+Datos!AN23))/(Datos!V23+Datos!AN23))," - ")</f>
        <v>0.1643646408839779</v>
      </c>
      <c r="H23" s="401">
        <f>IF(ISNUMBER((Datos!M23-Datos!W23)/Datos!W23),(Datos!M23-Datos!W23)/Datos!W23," - ")</f>
        <v>-0.25966850828729282</v>
      </c>
      <c r="I23" s="402">
        <f>IF(ISNUMBER((Tasas!C23-Datos!BE23)/Datos!BE23),(Tasas!C23-Datos!BE23)/Datos!BE23," - ")</f>
        <v>3.2751763682922555E-2</v>
      </c>
      <c r="J23" s="400">
        <f>IF(ISNUMBER((Tasas!D23-Datos!BF23)/Datos!BF23),(Tasas!D23-Datos!BF23)/Datos!BF23," - ")</f>
        <v>-0.34335119177455936</v>
      </c>
      <c r="K23" s="403">
        <f>IF(ISNUMBER((Tasas!E23-Datos!BG23)/Datos!BG23),(Tasas!E23-Datos!BG23)/Datos!BG23," - ")</f>
        <v>1.6596523112598478E-2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4.8113207547169815E-2</v>
      </c>
      <c r="E31" s="409">
        <f>IF(ISNUMBER(
   IF(J_V="SI",(Datos!J31-Datos!T31)/Datos!T31,(Datos!J31+Datos!Z31-(Datos!T31+Datos!AH31))/(Datos!T31+Datos!AH31))
     ),IF(J_V="SI",(Datos!J31-Datos!T31)/Datos!T31,(Datos!J31+Datos!Z31-(Datos!T31+Datos!AH31))/(Datos!T31+Datos!AH31))," - ")</f>
        <v>0.26944348427238163</v>
      </c>
      <c r="F31" s="409">
        <f>IF(ISNUMBER(
   IF(J_V="SI",(Datos!K31-Datos!U31)/Datos!U31,(Datos!K31+Datos!AA31-(Datos!U31+Datos!AI31))/(Datos!U31+Datos!AI31))
     ),IF(J_V="SI",(Datos!K31-Datos!U31)/Datos!U31,(Datos!K31+Datos!AA31-(Datos!U31+Datos!AI31))/(Datos!U31+Datos!AI31))," - ")</f>
        <v>8.9650275164210896E-2</v>
      </c>
      <c r="G31" s="410">
        <f>IF(ISNUMBER(
   IF(J_V="SI",(Datos!L31-Datos!V31)/Datos!V31,(Datos!L31+Datos!AB31-(Datos!V31+Datos!AJ31))/(Datos!V31+Datos!AJ31))
     ),IF(J_V="SI",(Datos!L31-Datos!V31)/Datos!V31,(Datos!L31+Datos!AB31-(Datos!V31+Datos!AJ31))/(Datos!V31+Datos!AJ31))," - ")</f>
        <v>0.30933093309330933</v>
      </c>
      <c r="H31" s="411">
        <f>IF(ISNUMBER((Datos!M31-Datos!W31)/Datos!W31),(Datos!M31-Datos!W31)/Datos!W31," - ")</f>
        <v>-0.17736670293797607</v>
      </c>
      <c r="I31" s="408">
        <f>IF(ISNUMBER((Tasas!C31-Datos!BE31)/Datos!BE31),(Tasas!C31-Datos!BE31)/Datos!BE31," - ")</f>
        <v>0.2016065731695359</v>
      </c>
      <c r="J31" s="409">
        <f>IF(ISNUMBER((Tasas!D31-Datos!BF31)/Datos!BF31),(Tasas!D31-Datos!BF31)/Datos!BF31," - ")</f>
        <v>-0.46091640519793009</v>
      </c>
      <c r="K31" s="410">
        <f>IF(ISNUMBER((Tasas!E31-Datos!BG31)/Datos!BG31),(Tasas!E31-Datos!BG31)/Datos!BG31," - ")</f>
        <v>9.2959449212102627E-2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0.14901458898430314</v>
      </c>
      <c r="E33" s="303">
        <f t="shared" si="1"/>
        <v>0.2997449385684241</v>
      </c>
      <c r="F33" s="303">
        <f t="shared" si="1"/>
        <v>0.29318230629949632</v>
      </c>
      <c r="G33" s="304">
        <f t="shared" si="1"/>
        <v>0.10661998729862548</v>
      </c>
      <c r="H33" s="310">
        <f t="shared" si="1"/>
        <v>0.27581562144649924</v>
      </c>
      <c r="I33" s="302">
        <f t="shared" si="1"/>
        <v>0.26469528780957247</v>
      </c>
      <c r="J33" s="303">
        <f t="shared" si="1"/>
        <v>0.15186962794230791</v>
      </c>
      <c r="K33" s="304">
        <f t="shared" si="1"/>
        <v>0.13961518345852733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viVMYVlFbWWJIvZhHAxoKOReJ93LzjkDUxJJXg0XM5xttUzBwIbMWMJdVyPTiiN7gKvYUDEbvp6QvMzdz7qaQ==" saltValue="E8EXKE6DzB1N0zMkj7s5u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